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1"/>
  </bookViews>
  <sheets>
    <sheet name="Summary" sheetId="1" r:id="rId1"/>
    <sheet name="Workings" sheetId="2" r:id="rId2"/>
  </sheets>
  <definedNames>
    <definedName name="ben_dac">'Workings'!$T$5:$T$93</definedName>
    <definedName name="ben_w3r">'Workings'!$S$5:$S$93</definedName>
    <definedName name="frg_groups">'Workings'!$A$5:$A$93</definedName>
    <definedName name="k">1000</definedName>
    <definedName name="_xlnm.Print_Area" localSheetId="0">'Summary'!$C$1:$L$72</definedName>
    <definedName name="_xlnm.Print_Area" localSheetId="1">'Workings'!$B$1:$T$43</definedName>
    <definedName name="_xlnm.Print_Titles" localSheetId="0">'Summary'!$3:$5</definedName>
    <definedName name="result">'Workings'!$B$5:$T$26</definedName>
    <definedName name="risklu">'Summary'!$A$74:$B$77</definedName>
  </definedNames>
  <calcPr fullCalcOnLoad="1"/>
</workbook>
</file>

<file path=xl/sharedStrings.xml><?xml version="1.0" encoding="utf-8"?>
<sst xmlns="http://schemas.openxmlformats.org/spreadsheetml/2006/main" count="347" uniqueCount="209">
  <si>
    <t>Risk</t>
  </si>
  <si>
    <t>Scheme</t>
  </si>
  <si>
    <t>£'000</t>
  </si>
  <si>
    <t>WATFORD AND THREE RIVERS AND DACORUM PCT</t>
  </si>
  <si>
    <t>Financial Recovery Plan 2006/07</t>
  </si>
  <si>
    <t>2006/07 plan</t>
  </si>
  <si>
    <t>Opening Saving   Dacorum</t>
  </si>
  <si>
    <t>Time Scale</t>
  </si>
  <si>
    <t>Lead</t>
  </si>
  <si>
    <t>Saved to Date</t>
  </si>
  <si>
    <t>Revised Target</t>
  </si>
  <si>
    <t>P. Simms</t>
  </si>
  <si>
    <t>J. Phipps</t>
  </si>
  <si>
    <t>T. Southam</t>
  </si>
  <si>
    <t>J. Kearney</t>
  </si>
  <si>
    <t>M. Hough</t>
  </si>
  <si>
    <t>G. Snaith</t>
  </si>
  <si>
    <t>2.3 Frequent Fliers Management</t>
  </si>
  <si>
    <t>C. Pelley</t>
  </si>
  <si>
    <t>1. TARGET: Reduce Demand in 2nd and Tertiary Care:  Director Lead: T. Southam.  Clinical Lead(s) : SBJ</t>
  </si>
  <si>
    <t>2. TARGET: Improved Management of Unscheduled Care:   Director Lead: L. Patten.  Clinical Lead(s): Dr Essam. (Dac)</t>
  </si>
  <si>
    <t>4. TARGET: Continuing Care Management:   Director Lead: A. Jones.   Clinical Lead(s): As Localities</t>
  </si>
  <si>
    <t>4.1 Adult Continuing Care</t>
  </si>
  <si>
    <t>A. Jones</t>
  </si>
  <si>
    <t>5. TARGET: Decommissioning Services:  Director Lead: T. Southam.  Clinical Lead(s): As Localities</t>
  </si>
  <si>
    <t>5.1 Partnership Funding</t>
  </si>
  <si>
    <t>FC &amp; H. Aylwood</t>
  </si>
  <si>
    <t>K. Hall</t>
  </si>
  <si>
    <t>6. TARGET: CIPS of Directly Managed Services</t>
  </si>
  <si>
    <t>C.Pelley</t>
  </si>
  <si>
    <t>7. TARGET: Reducing MH Inpatient Demand</t>
  </si>
  <si>
    <t>8. TARGET: Better Ways of Working    Lead: F. Cox  Clinical Lead: R. Walker/N. Brown</t>
  </si>
  <si>
    <t xml:space="preserve">8.1 Prescribing </t>
  </si>
  <si>
    <t>R. Shah</t>
  </si>
  <si>
    <t>8.2 Management costs of clinical networks - Cardiac (TS) - Cancer (FC) - Public Health (JK)</t>
  </si>
  <si>
    <t>F. Cox</t>
  </si>
  <si>
    <t>Opening Saving  W3R</t>
  </si>
  <si>
    <t>1.4 Consultant to Consultant referrals - secondary care</t>
  </si>
  <si>
    <t xml:space="preserve">6.3 HV Specification </t>
  </si>
  <si>
    <t>F Cox</t>
  </si>
  <si>
    <t>5.3 London neo-natal disinvestment</t>
  </si>
  <si>
    <t>6.4 Reduced costs of PMS practice</t>
  </si>
  <si>
    <t>1.2 Minor Surgery Shift (MS, MOS)</t>
  </si>
  <si>
    <t>3. TARGET: Low Priority &amp; Limited Effectiveness Treatment Thresholds:  Director Lead: J. Kearney   Clinical Lead(s): Richard/Jane Halpin?</t>
  </si>
  <si>
    <t>3.1 Paediatric Tonsillectomies/Adenoids</t>
  </si>
  <si>
    <t>3.2 Paediatric Grommets</t>
  </si>
  <si>
    <t>L. Patten</t>
  </si>
  <si>
    <t>8.3 Better use of PCT estate</t>
  </si>
  <si>
    <t>8.4 PEC Costs</t>
  </si>
  <si>
    <t>Project Plan available from 31/03/06.</t>
  </si>
  <si>
    <t>Commenced on 08/03/06 - ongoing.  Eventually will move over to the CAS.</t>
  </si>
  <si>
    <t>w/c 27/03/06</t>
  </si>
  <si>
    <t>Implementation of minimum spec</t>
  </si>
  <si>
    <t>3.3 Athroscopy</t>
  </si>
  <si>
    <t>3.4 Bat Ears/Circumcision</t>
  </si>
  <si>
    <t>3.5 Varicose Veins</t>
  </si>
  <si>
    <t>Total Identified Savings</t>
  </si>
  <si>
    <t>Required savings</t>
  </si>
  <si>
    <t>Target savings (+33%)</t>
  </si>
  <si>
    <t>Conservative estimate based on 2005/06 actuals</t>
  </si>
  <si>
    <t>FRG</t>
  </si>
  <si>
    <t>Project</t>
  </si>
  <si>
    <t>W3R savings</t>
  </si>
  <si>
    <t>Dac savings</t>
  </si>
  <si>
    <t>Both PCTs</t>
  </si>
  <si>
    <t>Benefit</t>
  </si>
  <si>
    <t>group</t>
  </si>
  <si>
    <t>ref</t>
  </si>
  <si>
    <t>EL</t>
  </si>
  <si>
    <t>N El</t>
  </si>
  <si>
    <t>1st OP</t>
  </si>
  <si>
    <t>FU OP</t>
  </si>
  <si>
    <t>A&amp;E</t>
  </si>
  <si>
    <t>Tot</t>
  </si>
  <si>
    <t>savings</t>
  </si>
  <si>
    <t>Costs</t>
  </si>
  <si>
    <t>W3R</t>
  </si>
  <si>
    <t>Dac</t>
  </si>
  <si>
    <t>UCC</t>
  </si>
  <si>
    <t>FFM costs</t>
  </si>
  <si>
    <t>ucc</t>
  </si>
  <si>
    <t>UCC net</t>
  </si>
  <si>
    <t>ms</t>
  </si>
  <si>
    <t>MOS</t>
  </si>
  <si>
    <t>MS</t>
  </si>
  <si>
    <t>cas</t>
  </si>
  <si>
    <t>MSKT</t>
  </si>
  <si>
    <t>derm</t>
  </si>
  <si>
    <t>DERM</t>
  </si>
  <si>
    <t>spoc</t>
  </si>
  <si>
    <t>SPOC</t>
  </si>
  <si>
    <t>ffm</t>
  </si>
  <si>
    <t>FFM</t>
  </si>
  <si>
    <t>pasq</t>
  </si>
  <si>
    <t>PASQ</t>
  </si>
  <si>
    <t>dfq</t>
  </si>
  <si>
    <t>DFQ</t>
  </si>
  <si>
    <t>cep</t>
  </si>
  <si>
    <t>CEP</t>
  </si>
  <si>
    <t>CAS</t>
  </si>
  <si>
    <t>chk</t>
  </si>
  <si>
    <t>hydro-therapy pool FOT 2005/6</t>
  </si>
  <si>
    <t>Part year 9/12</t>
  </si>
  <si>
    <t>PCT shares of total</t>
  </si>
  <si>
    <t>htp</t>
  </si>
  <si>
    <t>Net benefit</t>
  </si>
  <si>
    <t>working</t>
  </si>
  <si>
    <t>ceppt</t>
  </si>
  <si>
    <t>ceppg</t>
  </si>
  <si>
    <t>cepar</t>
  </si>
  <si>
    <t>cepbe</t>
  </si>
  <si>
    <t>cepvv</t>
  </si>
  <si>
    <t>non-SLA projects/extra-SLA calculations:</t>
  </si>
  <si>
    <t>mt analysis:</t>
  </si>
  <si>
    <t>child price uplift:</t>
  </si>
  <si>
    <t>risk</t>
  </si>
  <si>
    <t>l</t>
  </si>
  <si>
    <t>m</t>
  </si>
  <si>
    <t>h</t>
  </si>
  <si>
    <t>*</t>
  </si>
  <si>
    <t xml:space="preserve"> </t>
  </si>
  <si>
    <t>1:1 Clinical Assessment Service (CAS) (inc Musculoskeletal)</t>
  </si>
  <si>
    <t>1.3 Practice agreement for set quota of referrals - Practice Based Commissioning</t>
  </si>
  <si>
    <t>1.5 Gastro Intestinal &amp; Endoscopy referrals 10-15% NICE</t>
  </si>
  <si>
    <t>1.6 Childrens Service Level Agreement</t>
  </si>
  <si>
    <t>1.7 Follow ups</t>
  </si>
  <si>
    <t>1.8 Chronic Obstructive Pulmonary Disorders</t>
  </si>
  <si>
    <t>1.9 Heart Failure</t>
  </si>
  <si>
    <t>1.10 Diabetes move to Primary Care - Practice based Commissioning</t>
  </si>
  <si>
    <t>1.11 Dermatology move to Primary Care</t>
  </si>
  <si>
    <t>1.12 Diagnostics</t>
  </si>
  <si>
    <t>From Q3</t>
  </si>
  <si>
    <t>Implement from 1/10</t>
  </si>
  <si>
    <t>2.1 Urgent Care Centre</t>
  </si>
  <si>
    <t>2.2 Single Point Of Contact &amp; Rapid Response</t>
  </si>
  <si>
    <t>Impacts from Q2</t>
  </si>
  <si>
    <t>Enforcement of existing policy. 10% reduction</t>
  </si>
  <si>
    <t>PYE</t>
  </si>
  <si>
    <t>4.2 Learning Disability Continuing Care</t>
  </si>
  <si>
    <t>4.3 Section 28a underspend</t>
  </si>
  <si>
    <t>M. Tattersall</t>
  </si>
  <si>
    <t>5.2 Electrically Powered Indoor Outdoor Chairs</t>
  </si>
  <si>
    <t>5.4 Therapy services - Hydrotherapy</t>
  </si>
  <si>
    <t xml:space="preserve">                               - Soft Tissue Physiotherapy</t>
  </si>
  <si>
    <t xml:space="preserve">                               - Other therapies</t>
  </si>
  <si>
    <t>5.5 Transfer from block to PbR funding</t>
  </si>
  <si>
    <t>5.6 Pain service at WHHT</t>
  </si>
  <si>
    <t>6.1 Cost Improvement Plan 5% provider Services</t>
  </si>
  <si>
    <t>6.2 Cost Improvement Plan  5% Management</t>
  </si>
  <si>
    <t>7.1 MH Service Level Agreement</t>
  </si>
  <si>
    <t>9. TARGET: Further areas of work   Lead: F. Cox</t>
  </si>
  <si>
    <t>9.1 Tertiary referrals</t>
  </si>
  <si>
    <t>Further analysis required. Requires joint strategy with WHHT</t>
  </si>
  <si>
    <t>T. Southam/ J Kearney</t>
  </si>
  <si>
    <t>Summary of High Risk</t>
  </si>
  <si>
    <t>Summary of Medium Risk</t>
  </si>
  <si>
    <t>Summary of Low Risk</t>
  </si>
  <si>
    <t>Total</t>
  </si>
  <si>
    <t>Part Year</t>
  </si>
  <si>
    <t>Effect</t>
  </si>
  <si>
    <t>* *</t>
  </si>
  <si>
    <t>* * *</t>
  </si>
  <si>
    <t>Check error</t>
  </si>
  <si>
    <t>C2C</t>
  </si>
  <si>
    <t>c2c</t>
  </si>
  <si>
    <t>hf</t>
  </si>
  <si>
    <t>cp</t>
  </si>
  <si>
    <t>HFNS-HFRS</t>
  </si>
  <si>
    <t>CPRS-CPC</t>
  </si>
  <si>
    <t>Pending success of Cas development. Cross Reference Project Plans: 1.1 CAS Development, Discharge. 70% 6 months.</t>
  </si>
  <si>
    <t>end</t>
  </si>
  <si>
    <t>per summary</t>
  </si>
  <si>
    <t>D. Boardman/ Catch On</t>
  </si>
  <si>
    <t>What this means for practices</t>
  </si>
  <si>
    <t>Each Practice will get a quota for elective referrals per specialty and emergency referrals - based upon distance from PCT average. Overall effect is for 10% reduction.</t>
  </si>
  <si>
    <t>Target 10% reduction - over 60% are NAD so practices will be asked to scrutinise their referrals</t>
  </si>
  <si>
    <t>Reduction in SLA being finalised - 5% less activity as with all providers.</t>
  </si>
  <si>
    <t>Default follow up will be none. GPs will receive clear guidelines on discharge letter that sets out the criteria for ongoing monitoring which is done as part of other routine GP appts. GPs expected to closely monitor quality of discharge letters</t>
  </si>
  <si>
    <t>20% reduction in admissions through the implementation of the pathway in next three months</t>
  </si>
  <si>
    <t>L. Patten, Corina Chobanou</t>
  </si>
  <si>
    <t xml:space="preserve">15% reduction in admissions through implementation of the pathway </t>
  </si>
  <si>
    <t>One contact point for GPs and other clinicians to call to activate rapid response team, to avoid hospital admission.</t>
  </si>
  <si>
    <t>Pre-emptive and pro active management of high risk patients; practices will be expected to monitor this closely and to use the PARR predictive modelling tool to identify potential patients.</t>
  </si>
  <si>
    <t>As above</t>
  </si>
  <si>
    <t>LD handover expected in Q1</t>
  </si>
  <si>
    <t>Review of all placements and all contractual arrangements.</t>
  </si>
  <si>
    <t>Renegotiate S28a across the county (£760k underspend) - should free up some cont care capacity</t>
  </si>
  <si>
    <t>Notice given to voluntary sector. Savings to be released from Oct 06. List available upon request</t>
  </si>
  <si>
    <t>SHA wide position to be taken as to whether these chairs are financed by the NHS or not.</t>
  </si>
  <si>
    <t>Some services previously in block contract may have to be provided elswhere as PbR may be too expensive. Other areas include increasing anticoag moitoring in Pcare.</t>
  </si>
  <si>
    <t>Respecification of service  - it will be made clear to GPs how referrals are made and who can be referred</t>
  </si>
  <si>
    <t>Managers currently identifying CIPs through the budget setting process - Practices will be informed if this afects their service</t>
  </si>
  <si>
    <t>Recommission back to funded level - may mean Practices have to take up some patients previously registered at Meadowell</t>
  </si>
  <si>
    <t xml:space="preserve"> Public consultation taking place setting out savings proposals.</t>
  </si>
  <si>
    <t>Agreeing budgets for year; agreeing formulary with secondary care; no change to formulary unless through MMGroup with commissioner input to demonstrate cost benefit</t>
  </si>
  <si>
    <t>Looking at tighter terms of reference, more effective woking. Networks to own the pathways.</t>
  </si>
  <si>
    <t>Sale of assets and transfer of receipt from capital to revenue. Lease agreements to link to service provision</t>
  </si>
  <si>
    <t>Reducing beaurocracy but enhancing clinical engagement.</t>
  </si>
  <si>
    <t>Key specialty areas requiring whole PCT referral management system have been identified and timescaled coming onstream over next 4-8 months. All GP referrals will be sent to one place with exception of ca referrals. Further independent advice indicates even greater savings - PbC ownership and advice welcome.</t>
  </si>
  <si>
    <t>GP referrals must be made to GP Providers in first instance. Choice Team assisting in appointments.</t>
  </si>
  <si>
    <t>Target 5% in Q1+ Q2 followed by 10% Q3 + Q4; practices will be expected to monitor this and give permission as required. Independent advice suggests much greater savings can be aquired - PbC ownership welcomed.</t>
  </si>
  <si>
    <t>L. Patten, Russell Jones, Corina Chobanou</t>
  </si>
  <si>
    <t>Plan to move diabetologists into PC. Advice and specification from PbC required.</t>
  </si>
  <si>
    <t>GP referrals must be made to GP Providers in first instance as in line with the relevant care pathway. Echocardiograms, BNP, 24 hr ECG and ultrasounds. PbC help required to ascertain unmet need &amp; manage demand.</t>
  </si>
  <si>
    <t>Urgent Care centre possibly at Hemel but only at month 6/7. Before then practices will need to comprehensively look to monitoring their A&amp;E activity and emergency admissions. Currently an options appraisal being looked at across St Albans &amp; Hemel.</t>
  </si>
  <si>
    <t>Procedure only to be undertaken in exceptional clinical cicumstances. GPs will need to be familiar with referral criteria and with management strategies for pts no longer eligible for treatment.</t>
  </si>
  <si>
    <t>Options for future of pool being looked at. May mean provision shifts to local pools.</t>
  </si>
  <si>
    <t>Effectiveness review of this may have repercussions on the practice based physiotherapy service - and whether it comes under a CAS (see 1.1). Practices will have to refer along same guidelines.</t>
  </si>
  <si>
    <t>Effectiveness review of other therapies -  some may move to specialist only services.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</si>
</sst>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0.0000"/>
    <numFmt numFmtId="169" formatCode="#,##0.00000"/>
    <numFmt numFmtId="170" formatCode="#,##0.000000"/>
    <numFmt numFmtId="171" formatCode="#,##0.0000000"/>
    <numFmt numFmtId="172" formatCode="#,##0.00000000"/>
    <numFmt numFmtId="173" formatCode="_-* #,##0.000_-;\-* #,##0.000_-;_-* &quot;-&quot;??_-;_-@_-"/>
    <numFmt numFmtId="174" formatCode="_-* #,##0.0000_-;\-* #,##0.0000_-;_-* &quot;-&quot;??_-;_-@_-"/>
  </numFmts>
  <fonts count="40">
    <font>
      <sz val="10"/>
      <name val="Arial"/>
      <family val="0"/>
    </font>
    <font>
      <sz val="12"/>
      <name val="Arial"/>
      <family val="0"/>
    </font>
    <font>
      <b/>
      <sz val="12"/>
      <name val="Arial"/>
      <family val="0"/>
    </font>
    <font>
      <sz val="12"/>
      <color indexed="9"/>
      <name val="Arial"/>
      <family val="0"/>
    </font>
    <font>
      <sz val="11"/>
      <name val="Arial"/>
      <family val="0"/>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thin"/>
      <right>
        <color indexed="63"/>
      </right>
      <top style="thin"/>
      <bottom style="double"/>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style="thin"/>
      <bottom style="thin"/>
    </border>
    <border>
      <left style="medium"/>
      <right style="medium"/>
      <top style="thin"/>
      <bottom style="medium"/>
    </border>
    <border>
      <left style="medium"/>
      <right style="thin"/>
      <top style="thin"/>
      <bottom style="medium"/>
    </border>
    <border>
      <left style="thin"/>
      <right style="thin"/>
      <top>
        <color indexed="63"/>
      </top>
      <bottom style="medium"/>
    </border>
    <border>
      <left style="medium"/>
      <right style="medium"/>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thin"/>
      <top style="thin"/>
      <bottom style="double"/>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6">
    <xf numFmtId="0" fontId="0" fillId="0" borderId="0" xfId="0" applyAlignment="1">
      <alignment/>
    </xf>
    <xf numFmtId="0" fontId="1" fillId="0" borderId="0" xfId="0" applyFont="1" applyAlignment="1">
      <alignment horizontal="center" vertical="center"/>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164" fontId="1" fillId="0" borderId="0" xfId="0" applyNumberFormat="1" applyFont="1" applyFill="1" applyAlignment="1">
      <alignment vertical="center"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xf>
    <xf numFmtId="0" fontId="1" fillId="0" borderId="10" xfId="0" applyFont="1" applyBorder="1" applyAlignment="1">
      <alignment/>
    </xf>
    <xf numFmtId="0" fontId="2" fillId="0" borderId="11" xfId="0" applyFont="1" applyBorder="1" applyAlignment="1">
      <alignment/>
    </xf>
    <xf numFmtId="3" fontId="2" fillId="0" borderId="10" xfId="0" applyNumberFormat="1" applyFont="1" applyBorder="1" applyAlignment="1">
      <alignment horizontal="center" wrapText="1"/>
    </xf>
    <xf numFmtId="3" fontId="2" fillId="0" borderId="11" xfId="0" applyNumberFormat="1" applyFont="1" applyBorder="1" applyAlignment="1">
      <alignment horizontal="center" wrapText="1"/>
    </xf>
    <xf numFmtId="0" fontId="2" fillId="0" borderId="10" xfId="0" applyFont="1" applyBorder="1" applyAlignment="1">
      <alignment horizontal="center" wrapText="1"/>
    </xf>
    <xf numFmtId="164"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4" fillId="0" borderId="12" xfId="0" applyNumberFormat="1" applyFont="1" applyBorder="1" applyAlignment="1">
      <alignment/>
    </xf>
    <xf numFmtId="0" fontId="1" fillId="0" borderId="13" xfId="0" applyFont="1" applyBorder="1" applyAlignment="1">
      <alignment/>
    </xf>
    <xf numFmtId="0" fontId="2" fillId="0" borderId="14" xfId="0" applyFont="1" applyBorder="1" applyAlignment="1">
      <alignment/>
    </xf>
    <xf numFmtId="3" fontId="2" fillId="0" borderId="13" xfId="0" applyNumberFormat="1" applyFont="1" applyBorder="1" applyAlignment="1">
      <alignment horizontal="center"/>
    </xf>
    <xf numFmtId="3" fontId="2" fillId="0" borderId="14" xfId="0" applyNumberFormat="1" applyFont="1" applyBorder="1" applyAlignment="1">
      <alignment horizontal="center"/>
    </xf>
    <xf numFmtId="0" fontId="2" fillId="0" borderId="13" xfId="0" applyFont="1" applyBorder="1" applyAlignment="1">
      <alignment horizontal="center"/>
    </xf>
    <xf numFmtId="164"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 fillId="0" borderId="15" xfId="0" applyFont="1" applyBorder="1" applyAlignment="1">
      <alignment/>
    </xf>
    <xf numFmtId="0" fontId="2" fillId="0" borderId="16" xfId="0" applyFont="1" applyBorder="1" applyAlignment="1">
      <alignment/>
    </xf>
    <xf numFmtId="3" fontId="2" fillId="0" borderId="15" xfId="0" applyNumberFormat="1" applyFont="1" applyBorder="1" applyAlignment="1">
      <alignment horizontal="center"/>
    </xf>
    <xf numFmtId="3" fontId="2" fillId="0" borderId="16" xfId="0" applyNumberFormat="1" applyFont="1" applyBorder="1" applyAlignment="1">
      <alignment horizontal="center"/>
    </xf>
    <xf numFmtId="0" fontId="2" fillId="0" borderId="15" xfId="0" applyFont="1" applyBorder="1" applyAlignment="1">
      <alignment horizontal="center"/>
    </xf>
    <xf numFmtId="0" fontId="2" fillId="0" borderId="15" xfId="0" applyFont="1" applyFill="1" applyBorder="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xf>
    <xf numFmtId="164" fontId="1" fillId="0" borderId="17" xfId="0" applyNumberFormat="1" applyFont="1" applyFill="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vertical="center" wrapText="1"/>
    </xf>
    <xf numFmtId="3" fontId="1" fillId="0" borderId="21" xfId="0" applyNumberFormat="1" applyFont="1" applyBorder="1" applyAlignment="1">
      <alignment vertical="center" wrapText="1"/>
    </xf>
    <xf numFmtId="164" fontId="1" fillId="0" borderId="22" xfId="0" applyNumberFormat="1" applyFont="1" applyBorder="1" applyAlignment="1">
      <alignment vertical="center" wrapText="1"/>
    </xf>
    <xf numFmtId="164" fontId="3" fillId="0" borderId="23" xfId="0" applyNumberFormat="1" applyFont="1" applyFill="1" applyBorder="1" applyAlignment="1">
      <alignment horizontal="center"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vertical="center" wrapText="1"/>
    </xf>
    <xf numFmtId="164" fontId="1" fillId="0" borderId="26" xfId="0" applyNumberFormat="1" applyFont="1" applyBorder="1" applyAlignment="1">
      <alignment vertical="center" wrapText="1"/>
    </xf>
    <xf numFmtId="0" fontId="1" fillId="0" borderId="26" xfId="0" applyFont="1" applyBorder="1" applyAlignment="1">
      <alignment vertical="center" wrapText="1"/>
    </xf>
    <xf numFmtId="0" fontId="1" fillId="0" borderId="26" xfId="0" applyFont="1" applyBorder="1" applyAlignment="1">
      <alignment horizontal="center" vertical="center" wrapText="1"/>
    </xf>
    <xf numFmtId="164" fontId="1" fillId="0" borderId="27" xfId="0" applyNumberFormat="1" applyFont="1" applyBorder="1" applyAlignment="1">
      <alignment vertical="center" wrapText="1"/>
    </xf>
    <xf numFmtId="0" fontId="1" fillId="0" borderId="27" xfId="0" applyFont="1" applyBorder="1" applyAlignment="1">
      <alignment vertical="center" wrapText="1"/>
    </xf>
    <xf numFmtId="0" fontId="1" fillId="0" borderId="27" xfId="0" applyFont="1" applyBorder="1" applyAlignment="1">
      <alignment horizontal="center" vertical="center" wrapText="1"/>
    </xf>
    <xf numFmtId="3" fontId="1" fillId="0" borderId="26" xfId="0" applyNumberFormat="1" applyFont="1" applyBorder="1" applyAlignment="1">
      <alignment vertical="center" wrapText="1"/>
    </xf>
    <xf numFmtId="14" fontId="1" fillId="0" borderId="27" xfId="0" applyNumberFormat="1" applyFont="1" applyBorder="1" applyAlignment="1">
      <alignment horizontal="left"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vertical="center"/>
    </xf>
    <xf numFmtId="0" fontId="1" fillId="0" borderId="27" xfId="0" applyFont="1" applyBorder="1" applyAlignment="1">
      <alignment wrapText="1"/>
    </xf>
    <xf numFmtId="0" fontId="1" fillId="0" borderId="21" xfId="0" applyFont="1" applyBorder="1" applyAlignment="1">
      <alignment wrapText="1"/>
    </xf>
    <xf numFmtId="0" fontId="1" fillId="0" borderId="27" xfId="0" applyFont="1" applyBorder="1" applyAlignment="1">
      <alignment horizontal="center"/>
    </xf>
    <xf numFmtId="0" fontId="1" fillId="0" borderId="23" xfId="0" applyFont="1" applyBorder="1" applyAlignment="1">
      <alignment wrapText="1"/>
    </xf>
    <xf numFmtId="0" fontId="1" fillId="0" borderId="23" xfId="0" applyFont="1" applyBorder="1" applyAlignment="1">
      <alignment vertical="center" wrapText="1"/>
    </xf>
    <xf numFmtId="3" fontId="1" fillId="0" borderId="28" xfId="0" applyNumberFormat="1"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xf>
    <xf numFmtId="0" fontId="1" fillId="0" borderId="13" xfId="0" applyFont="1" applyBorder="1" applyAlignment="1">
      <alignment horizontal="center" vertical="center" wrapText="1"/>
    </xf>
    <xf numFmtId="0" fontId="1" fillId="0" borderId="0" xfId="0" applyFont="1" applyBorder="1" applyAlignment="1">
      <alignment vertical="center" wrapText="1"/>
    </xf>
    <xf numFmtId="0" fontId="1" fillId="33" borderId="22" xfId="0" applyFont="1" applyFill="1" applyBorder="1" applyAlignment="1">
      <alignment vertical="center" wrapText="1"/>
    </xf>
    <xf numFmtId="0" fontId="1" fillId="0" borderId="29" xfId="0" applyFont="1" applyBorder="1" applyAlignment="1">
      <alignment horizontal="center" vertical="center" wrapText="1"/>
    </xf>
    <xf numFmtId="0" fontId="1" fillId="0" borderId="30" xfId="0" applyFont="1" applyBorder="1" applyAlignment="1">
      <alignment vertical="center" wrapText="1"/>
    </xf>
    <xf numFmtId="3" fontId="1" fillId="0" borderId="31" xfId="0" applyNumberFormat="1" applyFont="1" applyBorder="1" applyAlignment="1">
      <alignment vertical="center" wrapText="1"/>
    </xf>
    <xf numFmtId="164" fontId="1" fillId="0" borderId="28" xfId="0" applyNumberFormat="1" applyFont="1" applyBorder="1" applyAlignment="1">
      <alignment vertical="center" wrapText="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1" fillId="0" borderId="0" xfId="0" applyFont="1" applyAlignment="1">
      <alignment/>
    </xf>
    <xf numFmtId="0" fontId="1" fillId="0" borderId="21" xfId="0" applyFont="1" applyBorder="1" applyAlignment="1">
      <alignment vertical="center" wrapText="1"/>
    </xf>
    <xf numFmtId="0" fontId="1" fillId="0" borderId="32" xfId="0" applyFont="1" applyBorder="1" applyAlignment="1">
      <alignment vertical="center" wrapText="1"/>
    </xf>
    <xf numFmtId="3" fontId="1" fillId="0" borderId="33" xfId="0" applyNumberFormat="1" applyFont="1" applyBorder="1" applyAlignment="1">
      <alignment vertical="center" wrapText="1"/>
    </xf>
    <xf numFmtId="3" fontId="1" fillId="0" borderId="34" xfId="0" applyNumberFormat="1"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horizontal="center" vertical="center" wrapText="1"/>
    </xf>
    <xf numFmtId="3" fontId="1" fillId="0" borderId="36" xfId="0" applyNumberFormat="1" applyFont="1" applyBorder="1" applyAlignment="1">
      <alignment vertical="center" wrapText="1"/>
    </xf>
    <xf numFmtId="3" fontId="1" fillId="0" borderId="22" xfId="0" applyNumberFormat="1"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vertical="center" wrapText="1"/>
    </xf>
    <xf numFmtId="3" fontId="1" fillId="0" borderId="39" xfId="0" applyNumberFormat="1" applyFont="1" applyBorder="1" applyAlignment="1">
      <alignment vertical="center" wrapText="1"/>
    </xf>
    <xf numFmtId="164" fontId="1" fillId="0" borderId="0" xfId="0" applyNumberFormat="1" applyFont="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vertical="center"/>
    </xf>
    <xf numFmtId="3" fontId="1" fillId="0" borderId="36" xfId="0" applyNumberFormat="1" applyFont="1" applyFill="1" applyBorder="1" applyAlignment="1">
      <alignment vertical="center" wrapText="1"/>
    </xf>
    <xf numFmtId="164" fontId="1" fillId="0" borderId="36" xfId="0" applyNumberFormat="1" applyFont="1" applyFill="1" applyBorder="1" applyAlignment="1">
      <alignment vertical="center" wrapText="1"/>
    </xf>
    <xf numFmtId="0" fontId="1" fillId="0" borderId="22" xfId="0" applyFont="1" applyBorder="1" applyAlignment="1">
      <alignment wrapText="1"/>
    </xf>
    <xf numFmtId="0" fontId="1" fillId="0" borderId="22" xfId="0" applyFont="1" applyBorder="1" applyAlignment="1">
      <alignment horizontal="center"/>
    </xf>
    <xf numFmtId="0" fontId="1" fillId="0" borderId="25" xfId="0" applyFont="1" applyBorder="1" applyAlignment="1">
      <alignment horizontal="left" vertical="center"/>
    </xf>
    <xf numFmtId="3" fontId="1" fillId="0" borderId="23" xfId="0" applyNumberFormat="1" applyFont="1" applyFill="1" applyBorder="1" applyAlignment="1">
      <alignment vertical="center" wrapText="1"/>
    </xf>
    <xf numFmtId="164" fontId="1" fillId="0" borderId="23" xfId="0" applyNumberFormat="1" applyFont="1" applyFill="1" applyBorder="1" applyAlignment="1">
      <alignment vertical="center" wrapText="1"/>
    </xf>
    <xf numFmtId="0" fontId="1" fillId="0" borderId="26" xfId="0" applyFont="1" applyBorder="1" applyAlignment="1">
      <alignment wrapText="1"/>
    </xf>
    <xf numFmtId="0" fontId="1" fillId="0" borderId="26" xfId="0" applyFont="1" applyBorder="1" applyAlignment="1">
      <alignment horizontal="center"/>
    </xf>
    <xf numFmtId="0" fontId="1" fillId="0" borderId="20" xfId="0" applyFont="1" applyBorder="1" applyAlignment="1">
      <alignment horizontal="left" vertical="center" wrapText="1"/>
    </xf>
    <xf numFmtId="164" fontId="1" fillId="0" borderId="21" xfId="0" applyNumberFormat="1" applyFont="1" applyFill="1" applyBorder="1" applyAlignment="1">
      <alignment vertical="center" wrapText="1"/>
    </xf>
    <xf numFmtId="3" fontId="1" fillId="0" borderId="21" xfId="0" applyNumberFormat="1" applyFont="1" applyFill="1" applyBorder="1" applyAlignment="1">
      <alignment vertical="center" wrapText="1"/>
    </xf>
    <xf numFmtId="0" fontId="1" fillId="0" borderId="21" xfId="0" applyFont="1" applyBorder="1" applyAlignment="1">
      <alignment horizontal="center"/>
    </xf>
    <xf numFmtId="0" fontId="1" fillId="0" borderId="25" xfId="0" applyFont="1" applyBorder="1" applyAlignment="1">
      <alignment horizontal="left" vertical="center" wrapText="1"/>
    </xf>
    <xf numFmtId="0" fontId="1" fillId="0" borderId="23" xfId="0" applyFont="1" applyBorder="1" applyAlignment="1">
      <alignment horizontal="center"/>
    </xf>
    <xf numFmtId="0" fontId="1" fillId="0" borderId="0" xfId="0" applyFont="1" applyBorder="1" applyAlignment="1">
      <alignment horizontal="left" vertical="center" wrapText="1"/>
    </xf>
    <xf numFmtId="0" fontId="1" fillId="0" borderId="36" xfId="0" applyFont="1" applyBorder="1" applyAlignment="1">
      <alignment wrapText="1"/>
    </xf>
    <xf numFmtId="0" fontId="1" fillId="0" borderId="36" xfId="0" applyFont="1" applyBorder="1" applyAlignment="1">
      <alignment horizontal="center"/>
    </xf>
    <xf numFmtId="0" fontId="1" fillId="0" borderId="41" xfId="0" applyFont="1" applyBorder="1" applyAlignment="1">
      <alignment horizontal="left" vertical="center"/>
    </xf>
    <xf numFmtId="164" fontId="1" fillId="0" borderId="41" xfId="0" applyNumberFormat="1" applyFont="1" applyFill="1" applyBorder="1" applyAlignment="1">
      <alignment vertical="center" wrapText="1"/>
    </xf>
    <xf numFmtId="0" fontId="1" fillId="0" borderId="41" xfId="0" applyFont="1" applyBorder="1" applyAlignment="1">
      <alignment vertical="center" wrapText="1"/>
    </xf>
    <xf numFmtId="17" fontId="1" fillId="0" borderId="41" xfId="0" applyNumberFormat="1" applyFont="1" applyBorder="1" applyAlignment="1">
      <alignment wrapText="1"/>
    </xf>
    <xf numFmtId="0" fontId="1" fillId="0" borderId="24" xfId="0" applyFont="1" applyBorder="1" applyAlignment="1">
      <alignment/>
    </xf>
    <xf numFmtId="0" fontId="1" fillId="0" borderId="42" xfId="0" applyFont="1" applyBorder="1" applyAlignment="1">
      <alignment horizontal="left" vertical="center"/>
    </xf>
    <xf numFmtId="164" fontId="1" fillId="0" borderId="42" xfId="0" applyNumberFormat="1" applyFont="1" applyFill="1" applyBorder="1" applyAlignment="1">
      <alignment vertical="center" wrapText="1"/>
    </xf>
    <xf numFmtId="0" fontId="1" fillId="0" borderId="42" xfId="0" applyFont="1" applyBorder="1" applyAlignment="1">
      <alignment vertical="center" wrapText="1"/>
    </xf>
    <xf numFmtId="17" fontId="1" fillId="0" borderId="42" xfId="0" applyNumberFormat="1" applyFont="1" applyBorder="1" applyAlignment="1">
      <alignment wrapText="1"/>
    </xf>
    <xf numFmtId="0" fontId="1" fillId="0" borderId="42" xfId="0" applyFont="1" applyBorder="1" applyAlignment="1">
      <alignment wrapText="1"/>
    </xf>
    <xf numFmtId="0" fontId="1" fillId="0" borderId="41" xfId="0" applyFont="1" applyBorder="1" applyAlignment="1">
      <alignment horizontal="left" vertical="center" wrapText="1"/>
    </xf>
    <xf numFmtId="3" fontId="2" fillId="0" borderId="36" xfId="0" applyNumberFormat="1" applyFont="1" applyBorder="1" applyAlignment="1">
      <alignment horizontal="left"/>
    </xf>
    <xf numFmtId="164" fontId="2" fillId="0" borderId="41" xfId="0" applyNumberFormat="1" applyFont="1" applyBorder="1" applyAlignment="1">
      <alignment/>
    </xf>
    <xf numFmtId="0" fontId="1" fillId="0" borderId="36" xfId="0" applyFont="1" applyBorder="1" applyAlignment="1">
      <alignment horizontal="center" vertical="center" wrapText="1"/>
    </xf>
    <xf numFmtId="0" fontId="1" fillId="0" borderId="36" xfId="0" applyFont="1" applyBorder="1" applyAlignment="1">
      <alignment horizontal="left" vertical="center" wrapText="1"/>
    </xf>
    <xf numFmtId="3" fontId="1" fillId="0" borderId="36" xfId="0" applyNumberFormat="1" applyFont="1" applyBorder="1" applyAlignment="1">
      <alignment/>
    </xf>
    <xf numFmtId="164" fontId="2" fillId="0" borderId="36" xfId="0" applyNumberFormat="1" applyFont="1" applyBorder="1" applyAlignment="1">
      <alignment/>
    </xf>
    <xf numFmtId="0" fontId="1" fillId="0" borderId="36" xfId="0" applyFont="1" applyBorder="1" applyAlignment="1">
      <alignment vertical="center" wrapText="1"/>
    </xf>
    <xf numFmtId="0" fontId="1" fillId="0" borderId="43" xfId="0" applyFont="1" applyBorder="1" applyAlignment="1">
      <alignment/>
    </xf>
    <xf numFmtId="0" fontId="1" fillId="0" borderId="44" xfId="0" applyFont="1" applyBorder="1" applyAlignment="1">
      <alignment vertical="center" wrapText="1"/>
    </xf>
    <xf numFmtId="164" fontId="1" fillId="0" borderId="36" xfId="0" applyNumberFormat="1" applyFont="1" applyBorder="1" applyAlignment="1">
      <alignment vertical="center" wrapText="1"/>
    </xf>
    <xf numFmtId="0" fontId="1" fillId="0" borderId="3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3" fontId="1" fillId="0" borderId="23" xfId="0" applyNumberFormat="1" applyFont="1" applyBorder="1" applyAlignment="1">
      <alignment vertical="center" wrapText="1"/>
    </xf>
    <xf numFmtId="164" fontId="1" fillId="0" borderId="23" xfId="0" applyNumberFormat="1" applyFont="1" applyBorder="1" applyAlignment="1">
      <alignment vertical="center" wrapText="1"/>
    </xf>
    <xf numFmtId="0" fontId="1" fillId="0" borderId="45" xfId="0" applyFont="1" applyBorder="1" applyAlignment="1">
      <alignment vertical="center" wrapText="1"/>
    </xf>
    <xf numFmtId="3" fontId="1" fillId="0" borderId="45" xfId="0" applyNumberFormat="1" applyFont="1" applyBorder="1" applyAlignment="1">
      <alignment vertical="center" wrapText="1"/>
    </xf>
    <xf numFmtId="3" fontId="1" fillId="0" borderId="45" xfId="0" applyNumberFormat="1" applyFont="1" applyBorder="1" applyAlignment="1">
      <alignment horizontal="right" vertical="center" wrapText="1"/>
    </xf>
    <xf numFmtId="164" fontId="1" fillId="0" borderId="45" xfId="0" applyNumberFormat="1" applyFont="1" applyBorder="1" applyAlignment="1">
      <alignment horizontal="right"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3" fontId="1" fillId="0" borderId="47" xfId="0" applyNumberFormat="1" applyFont="1" applyBorder="1" applyAlignment="1">
      <alignment vertical="center" wrapText="1"/>
    </xf>
    <xf numFmtId="3"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164" fontId="3" fillId="0" borderId="26" xfId="0" applyNumberFormat="1" applyFont="1" applyFill="1" applyBorder="1" applyAlignment="1">
      <alignment horizontal="center" vertical="center" wrapText="1"/>
    </xf>
    <xf numFmtId="0" fontId="1" fillId="0" borderId="18" xfId="0" applyFont="1" applyBorder="1" applyAlignment="1">
      <alignment vertical="center" wrapText="1"/>
    </xf>
    <xf numFmtId="0" fontId="1" fillId="0" borderId="48" xfId="0" applyFont="1" applyBorder="1" applyAlignment="1">
      <alignment horizontal="center" vertical="center" wrapText="1"/>
    </xf>
    <xf numFmtId="3" fontId="1" fillId="0" borderId="0" xfId="0" applyNumberFormat="1" applyFont="1" applyBorder="1" applyAlignment="1">
      <alignment vertical="center" wrapText="1"/>
    </xf>
    <xf numFmtId="3" fontId="1" fillId="0" borderId="49" xfId="0" applyNumberFormat="1" applyFont="1" applyBorder="1" applyAlignment="1">
      <alignment vertical="center" wrapText="1"/>
    </xf>
    <xf numFmtId="164" fontId="3" fillId="0" borderId="0" xfId="0" applyNumberFormat="1" applyFont="1" applyFill="1" applyBorder="1" applyAlignment="1">
      <alignment vertical="center" wrapText="1"/>
    </xf>
    <xf numFmtId="3" fontId="1" fillId="0" borderId="50" xfId="0" applyNumberFormat="1" applyFont="1" applyBorder="1" applyAlignment="1">
      <alignment vertical="center" wrapText="1"/>
    </xf>
    <xf numFmtId="0" fontId="1" fillId="0" borderId="51" xfId="0" applyFont="1" applyBorder="1" applyAlignment="1">
      <alignment vertical="center" wrapText="1"/>
    </xf>
    <xf numFmtId="3" fontId="1" fillId="0" borderId="30" xfId="0" applyNumberFormat="1" applyFont="1" applyBorder="1" applyAlignment="1">
      <alignment vertical="center" wrapText="1"/>
    </xf>
    <xf numFmtId="164" fontId="1" fillId="0" borderId="30" xfId="0" applyNumberFormat="1" applyFont="1" applyBorder="1" applyAlignment="1">
      <alignment vertical="center" wrapText="1"/>
    </xf>
    <xf numFmtId="164" fontId="3" fillId="0" borderId="28" xfId="0" applyNumberFormat="1" applyFont="1" applyFill="1" applyBorder="1" applyAlignment="1">
      <alignment horizontal="center" vertical="center" wrapText="1"/>
    </xf>
    <xf numFmtId="164" fontId="3" fillId="0" borderId="22" xfId="0" applyNumberFormat="1" applyFont="1" applyFill="1" applyBorder="1" applyAlignment="1">
      <alignment horizontal="center" vertical="center" wrapText="1"/>
    </xf>
    <xf numFmtId="164" fontId="3" fillId="0" borderId="22" xfId="0" applyNumberFormat="1" applyFont="1" applyFill="1" applyBorder="1" applyAlignment="1">
      <alignment wrapText="1"/>
    </xf>
    <xf numFmtId="0" fontId="1" fillId="0" borderId="52" xfId="0" applyFont="1" applyBorder="1" applyAlignment="1">
      <alignment vertical="center" wrapText="1"/>
    </xf>
    <xf numFmtId="4" fontId="2" fillId="0" borderId="20" xfId="0" applyNumberFormat="1" applyFont="1" applyBorder="1" applyAlignment="1">
      <alignment horizontal="right" vertical="center" wrapText="1"/>
    </xf>
    <xf numFmtId="164" fontId="1" fillId="0" borderId="20" xfId="0" applyNumberFormat="1" applyFont="1" applyBorder="1" applyAlignment="1">
      <alignment vertical="center" wrapText="1"/>
    </xf>
    <xf numFmtId="164" fontId="3" fillId="0" borderId="27" xfId="0" applyNumberFormat="1" applyFont="1" applyFill="1" applyBorder="1" applyAlignment="1">
      <alignment vertical="center" wrapText="1"/>
    </xf>
    <xf numFmtId="0" fontId="2" fillId="0" borderId="0" xfId="0" applyFont="1" applyBorder="1" applyAlignment="1">
      <alignment vertical="center" wrapText="1"/>
    </xf>
    <xf numFmtId="3" fontId="2" fillId="0" borderId="0" xfId="0" applyNumberFormat="1" applyFont="1" applyBorder="1" applyAlignment="1">
      <alignment/>
    </xf>
    <xf numFmtId="174" fontId="2" fillId="0" borderId="0" xfId="42" applyNumberFormat="1" applyFont="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3" fontId="1" fillId="0" borderId="0" xfId="0" applyNumberFormat="1" applyFont="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22" xfId="0" applyFont="1" applyBorder="1" applyAlignment="1">
      <alignment/>
    </xf>
    <xf numFmtId="3" fontId="1" fillId="0" borderId="53" xfId="0" applyNumberFormat="1" applyFont="1" applyBorder="1" applyAlignment="1">
      <alignment/>
    </xf>
    <xf numFmtId="3" fontId="1" fillId="0" borderId="48" xfId="0" applyNumberFormat="1" applyFont="1" applyBorder="1" applyAlignment="1">
      <alignment/>
    </xf>
    <xf numFmtId="3" fontId="4" fillId="0" borderId="51" xfId="0" applyNumberFormat="1" applyFont="1" applyBorder="1" applyAlignment="1">
      <alignment horizontal="center"/>
    </xf>
    <xf numFmtId="3" fontId="4" fillId="0" borderId="28" xfId="0" applyNumberFormat="1" applyFont="1" applyBorder="1" applyAlignment="1">
      <alignment horizontal="center"/>
    </xf>
    <xf numFmtId="3" fontId="4" fillId="0" borderId="30" xfId="0" applyNumberFormat="1" applyFont="1" applyBorder="1" applyAlignment="1">
      <alignment horizontal="center"/>
    </xf>
    <xf numFmtId="3" fontId="4" fillId="0" borderId="0" xfId="0" applyNumberFormat="1" applyFont="1" applyAlignment="1">
      <alignment/>
    </xf>
    <xf numFmtId="3" fontId="4" fillId="0" borderId="52" xfId="0" applyNumberFormat="1" applyFont="1" applyBorder="1" applyAlignment="1">
      <alignment horizontal="center"/>
    </xf>
    <xf numFmtId="3" fontId="4" fillId="0" borderId="27" xfId="0" applyNumberFormat="1" applyFont="1" applyBorder="1" applyAlignment="1">
      <alignment horizontal="center"/>
    </xf>
    <xf numFmtId="3" fontId="4" fillId="0" borderId="20" xfId="0" applyNumberFormat="1" applyFont="1" applyBorder="1" applyAlignment="1">
      <alignment horizontal="center"/>
    </xf>
    <xf numFmtId="3" fontId="4" fillId="0" borderId="0" xfId="0" applyNumberFormat="1" applyFont="1" applyAlignment="1">
      <alignment horizontal="center"/>
    </xf>
    <xf numFmtId="3" fontId="4" fillId="0" borderId="41" xfId="0" applyNumberFormat="1" applyFont="1" applyBorder="1" applyAlignment="1">
      <alignment/>
    </xf>
    <xf numFmtId="3" fontId="4" fillId="0" borderId="22" xfId="0" applyNumberFormat="1" applyFont="1" applyBorder="1" applyAlignment="1">
      <alignment/>
    </xf>
    <xf numFmtId="3" fontId="4" fillId="0" borderId="0" xfId="0" applyNumberFormat="1" applyFont="1" applyBorder="1" applyAlignment="1">
      <alignment/>
    </xf>
    <xf numFmtId="3" fontId="4" fillId="0" borderId="27" xfId="0" applyNumberFormat="1" applyFont="1" applyBorder="1" applyAlignment="1">
      <alignment/>
    </xf>
    <xf numFmtId="3" fontId="4" fillId="0" borderId="20" xfId="0" applyNumberFormat="1" applyFont="1" applyBorder="1" applyAlignment="1">
      <alignment/>
    </xf>
    <xf numFmtId="9" fontId="4" fillId="0" borderId="0" xfId="57" applyFont="1" applyAlignment="1">
      <alignment/>
    </xf>
    <xf numFmtId="0" fontId="4" fillId="0" borderId="22" xfId="0" applyFont="1" applyBorder="1" applyAlignment="1">
      <alignment/>
    </xf>
    <xf numFmtId="0" fontId="4" fillId="0" borderId="0" xfId="0" applyFont="1" applyBorder="1" applyAlignment="1">
      <alignment/>
    </xf>
    <xf numFmtId="3" fontId="4" fillId="0" borderId="52" xfId="0" applyNumberFormat="1" applyFont="1" applyBorder="1" applyAlignment="1">
      <alignment/>
    </xf>
    <xf numFmtId="3" fontId="4" fillId="0" borderId="50" xfId="0" applyNumberFormat="1" applyFont="1" applyBorder="1" applyAlignment="1">
      <alignment/>
    </xf>
    <xf numFmtId="3" fontId="4" fillId="0" borderId="54" xfId="0" applyNumberFormat="1" applyFont="1" applyBorder="1" applyAlignment="1">
      <alignment/>
    </xf>
    <xf numFmtId="3" fontId="5" fillId="0" borderId="0" xfId="0" applyNumberFormat="1" applyFont="1" applyAlignment="1">
      <alignment/>
    </xf>
    <xf numFmtId="165" fontId="4" fillId="0" borderId="0" xfId="57" applyNumberFormat="1" applyFont="1" applyAlignment="1">
      <alignment/>
    </xf>
    <xf numFmtId="0" fontId="4" fillId="0" borderId="0" xfId="0" applyFont="1" applyAlignment="1">
      <alignment horizontal="center"/>
    </xf>
    <xf numFmtId="3" fontId="4" fillId="0" borderId="0" xfId="0" applyNumberFormat="1" applyFont="1" applyAlignment="1">
      <alignment horizontal="right"/>
    </xf>
    <xf numFmtId="4" fontId="4" fillId="0" borderId="0" xfId="0" applyNumberFormat="1" applyFont="1" applyAlignment="1">
      <alignment/>
    </xf>
    <xf numFmtId="3" fontId="4" fillId="0" borderId="25" xfId="0" applyNumberFormat="1" applyFont="1" applyBorder="1" applyAlignment="1">
      <alignment/>
    </xf>
    <xf numFmtId="0" fontId="2" fillId="0" borderId="55" xfId="0" applyFont="1" applyBorder="1" applyAlignment="1">
      <alignment horizontal="center"/>
    </xf>
    <xf numFmtId="0" fontId="2" fillId="0" borderId="53" xfId="0" applyFont="1" applyBorder="1" applyAlignment="1">
      <alignment/>
    </xf>
    <xf numFmtId="0" fontId="1" fillId="0" borderId="17" xfId="0" applyFont="1" applyBorder="1" applyAlignment="1">
      <alignment/>
    </xf>
    <xf numFmtId="0" fontId="2" fillId="0" borderId="53" xfId="0" applyFont="1" applyBorder="1" applyAlignment="1">
      <alignment horizontal="left" vertical="center" wrapText="1"/>
    </xf>
    <xf numFmtId="0" fontId="2" fillId="0" borderId="17" xfId="0" applyFont="1" applyBorder="1" applyAlignment="1">
      <alignment horizontal="left" vertical="center" wrapText="1"/>
    </xf>
    <xf numFmtId="0" fontId="2" fillId="0" borderId="49" xfId="0" applyFont="1" applyBorder="1" applyAlignment="1">
      <alignment horizontal="left" vertical="center" wrapText="1"/>
    </xf>
    <xf numFmtId="0" fontId="2" fillId="0" borderId="48" xfId="0" applyFont="1" applyBorder="1" applyAlignment="1">
      <alignment horizontal="left" vertical="center" wrapText="1"/>
    </xf>
    <xf numFmtId="0" fontId="2" fillId="0" borderId="53" xfId="0" applyFont="1" applyBorder="1" applyAlignment="1">
      <alignment horizontal="left"/>
    </xf>
    <xf numFmtId="0" fontId="2" fillId="0" borderId="17" xfId="0" applyFont="1" applyBorder="1" applyAlignment="1">
      <alignment horizontal="left"/>
    </xf>
    <xf numFmtId="0" fontId="2" fillId="0" borderId="48" xfId="0" applyFont="1" applyBorder="1" applyAlignment="1">
      <alignment horizontal="left"/>
    </xf>
    <xf numFmtId="3" fontId="4" fillId="0" borderId="30" xfId="0" applyNumberFormat="1" applyFont="1" applyBorder="1" applyAlignment="1">
      <alignment horizontal="center"/>
    </xf>
    <xf numFmtId="3" fontId="4" fillId="0" borderId="28"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b/>
        <i val="0"/>
        <color auto="1"/>
      </font>
      <fill>
        <patternFill patternType="darkGrid">
          <fgColor indexed="10"/>
          <bgColor indexed="10"/>
        </patternFill>
      </fill>
    </dxf>
    <dxf>
      <font>
        <b/>
        <i val="0"/>
        <color auto="1"/>
      </font>
      <fill>
        <patternFill patternType="darkUp">
          <fgColor indexed="13"/>
          <bgColor indexed="13"/>
        </patternFill>
      </fill>
    </dxf>
    <dxf>
      <font>
        <b/>
        <i val="0"/>
        <color auto="1"/>
      </font>
      <fill>
        <patternFill patternType="lightUp">
          <fgColor indexed="11"/>
          <bgColor indexed="11"/>
        </patternFill>
      </fill>
    </dxf>
    <dxf>
      <font>
        <color auto="1"/>
      </font>
      <fill>
        <patternFill>
          <bgColor indexed="51"/>
        </patternFill>
      </fill>
    </dxf>
    <dxf>
      <font>
        <b/>
        <i val="0"/>
        <color auto="1"/>
      </font>
      <fill>
        <patternFill patternType="darkGrid">
          <fgColor indexed="10"/>
          <bgColor indexed="10"/>
        </patternFill>
      </fill>
    </dxf>
    <dxf>
      <font>
        <b/>
        <i val="0"/>
        <color auto="1"/>
      </font>
      <fill>
        <patternFill patternType="darkUp">
          <fgColor indexed="13"/>
          <bgColor indexed="13"/>
        </patternFill>
      </fill>
    </dxf>
    <dxf>
      <font>
        <b/>
        <i val="0"/>
        <color auto="1"/>
      </font>
      <fill>
        <patternFill patternType="lightUp">
          <fgColor indexed="11"/>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8"/>
  <sheetViews>
    <sheetView zoomScale="75" zoomScaleNormal="75" zoomScalePageLayoutView="0" workbookViewId="0" topLeftCell="A1">
      <pane xSplit="4" ySplit="6" topLeftCell="I21" activePane="bottomRight" state="frozen"/>
      <selection pane="topLeft" activeCell="A1" sqref="A1"/>
      <selection pane="topRight" activeCell="C1" sqref="C1"/>
      <selection pane="bottomLeft" activeCell="A6" sqref="A6"/>
      <selection pane="bottomRight" activeCell="A5" sqref="A5:IV5"/>
    </sheetView>
  </sheetViews>
  <sheetFormatPr defaultColWidth="9.140625" defaultRowHeight="12.75"/>
  <cols>
    <col min="1" max="1" width="4.140625" style="1" bestFit="1" customWidth="1"/>
    <col min="2" max="2" width="7.421875" style="1" bestFit="1" customWidth="1"/>
    <col min="3" max="3" width="9.140625" style="3" customWidth="1"/>
    <col min="4" max="4" width="59.28125" style="3" customWidth="1"/>
    <col min="5" max="5" width="20.8515625" style="4" customWidth="1"/>
    <col min="6" max="6" width="15.8515625" style="4" customWidth="1"/>
    <col min="7" max="8" width="15.8515625" style="3" hidden="1" customWidth="1"/>
    <col min="9" max="9" width="9.140625" style="165" customWidth="1"/>
    <col min="10" max="10" width="44.140625" style="3" customWidth="1"/>
    <col min="11" max="11" width="20.140625" style="3" customWidth="1"/>
    <col min="12" max="12" width="15.28125" style="166" customWidth="1"/>
    <col min="13" max="31" width="9.140625" style="8" customWidth="1"/>
    <col min="32" max="16384" width="9.140625" style="3" customWidth="1"/>
  </cols>
  <sheetData>
    <row r="1" spans="3:12" ht="15.75">
      <c r="C1" s="2" t="s">
        <v>3</v>
      </c>
      <c r="I1" s="5"/>
      <c r="J1" s="6"/>
      <c r="K1" s="6"/>
      <c r="L1" s="7"/>
    </row>
    <row r="2" spans="3:12" ht="16.5" thickBot="1">
      <c r="C2" s="194" t="s">
        <v>4</v>
      </c>
      <c r="D2" s="194"/>
      <c r="E2" s="194"/>
      <c r="F2" s="194"/>
      <c r="G2" s="194"/>
      <c r="H2" s="194"/>
      <c r="I2" s="194"/>
      <c r="J2" s="194"/>
      <c r="K2" s="194"/>
      <c r="L2" s="194"/>
    </row>
    <row r="3" spans="3:12" ht="25.5" customHeight="1">
      <c r="C3" s="9"/>
      <c r="D3" s="10"/>
      <c r="E3" s="11" t="s">
        <v>6</v>
      </c>
      <c r="F3" s="12" t="s">
        <v>36</v>
      </c>
      <c r="G3" s="13" t="s">
        <v>9</v>
      </c>
      <c r="H3" s="13" t="s">
        <v>10</v>
      </c>
      <c r="I3" s="14" t="s">
        <v>0</v>
      </c>
      <c r="J3" s="15" t="s">
        <v>173</v>
      </c>
      <c r="K3" s="15" t="s">
        <v>7</v>
      </c>
      <c r="L3" s="15" t="s">
        <v>8</v>
      </c>
    </row>
    <row r="4" spans="3:12" ht="15.75">
      <c r="C4" s="17"/>
      <c r="D4" s="18" t="s">
        <v>1</v>
      </c>
      <c r="E4" s="19" t="s">
        <v>5</v>
      </c>
      <c r="F4" s="20" t="s">
        <v>5</v>
      </c>
      <c r="G4" s="21"/>
      <c r="H4" s="21"/>
      <c r="I4" s="22"/>
      <c r="J4" s="23"/>
      <c r="K4" s="23"/>
      <c r="L4" s="23"/>
    </row>
    <row r="5" spans="2:12" ht="16.5" thickBot="1">
      <c r="B5" s="1" t="s">
        <v>106</v>
      </c>
      <c r="C5" s="24"/>
      <c r="D5" s="25"/>
      <c r="E5" s="26" t="s">
        <v>2</v>
      </c>
      <c r="F5" s="27" t="s">
        <v>2</v>
      </c>
      <c r="G5" s="28"/>
      <c r="H5" s="28"/>
      <c r="I5" s="29"/>
      <c r="J5" s="30"/>
      <c r="K5" s="30"/>
      <c r="L5" s="30"/>
    </row>
    <row r="6" spans="1:12" ht="16.5" thickBot="1">
      <c r="A6" s="1" t="s">
        <v>115</v>
      </c>
      <c r="B6" s="1" t="s">
        <v>67</v>
      </c>
      <c r="C6" s="195" t="s">
        <v>19</v>
      </c>
      <c r="D6" s="196"/>
      <c r="E6" s="196"/>
      <c r="F6" s="196"/>
      <c r="G6" s="196"/>
      <c r="H6" s="31"/>
      <c r="I6" s="32"/>
      <c r="J6" s="33"/>
      <c r="K6" s="33"/>
      <c r="L6" s="34"/>
    </row>
    <row r="7" spans="1:12" ht="135">
      <c r="A7" s="1" t="s">
        <v>117</v>
      </c>
      <c r="B7" s="1" t="s">
        <v>85</v>
      </c>
      <c r="C7" s="35"/>
      <c r="D7" s="36" t="s">
        <v>121</v>
      </c>
      <c r="E7" s="37">
        <f>SUMIF(frg_groups,$B7,ben_dac)/k</f>
        <v>121.64442468585112</v>
      </c>
      <c r="F7" s="37">
        <f>SUMIF(frg_groups,$B7,ben_w3r)/k</f>
        <v>169.96617885678407</v>
      </c>
      <c r="G7" s="38"/>
      <c r="H7" s="38"/>
      <c r="I7" s="39" t="str">
        <f aca="true" t="shared" si="0" ref="I7:I18">VLOOKUP(A7,risklu,2,0)</f>
        <v>* *</v>
      </c>
      <c r="J7" s="40" t="s">
        <v>198</v>
      </c>
      <c r="K7" s="40" t="s">
        <v>49</v>
      </c>
      <c r="L7" s="41" t="s">
        <v>11</v>
      </c>
    </row>
    <row r="8" spans="1:12" ht="90">
      <c r="A8" s="1" t="s">
        <v>116</v>
      </c>
      <c r="B8" s="1" t="s">
        <v>82</v>
      </c>
      <c r="C8" s="42"/>
      <c r="D8" s="43" t="s">
        <v>42</v>
      </c>
      <c r="E8" s="37">
        <f>SUMIF(frg_groups,$B8,ben_dac)/k</f>
        <v>253.0097044572491</v>
      </c>
      <c r="F8" s="37">
        <f>SUMIF(frg_groups,$B8,ben_w3r)/k</f>
        <v>416.74523647906676</v>
      </c>
      <c r="G8" s="44"/>
      <c r="H8" s="44"/>
      <c r="I8" s="39" t="str">
        <f t="shared" si="0"/>
        <v>*</v>
      </c>
      <c r="J8" s="45" t="s">
        <v>199</v>
      </c>
      <c r="K8" s="45" t="s">
        <v>50</v>
      </c>
      <c r="L8" s="46" t="s">
        <v>15</v>
      </c>
    </row>
    <row r="9" spans="1:12" ht="75">
      <c r="A9" s="1" t="s">
        <v>117</v>
      </c>
      <c r="B9" s="1" t="s">
        <v>93</v>
      </c>
      <c r="C9" s="35"/>
      <c r="D9" s="36" t="s">
        <v>122</v>
      </c>
      <c r="E9" s="37">
        <f>SUMIF(frg_groups,$B9,ben_dac)/k</f>
        <v>272.8643495030149</v>
      </c>
      <c r="F9" s="37">
        <f>SUMIF(frg_groups,$B9,ben_w3r)/k</f>
        <v>426.23537700905837</v>
      </c>
      <c r="G9" s="47"/>
      <c r="H9" s="47"/>
      <c r="I9" s="39" t="str">
        <f t="shared" si="0"/>
        <v>* *</v>
      </c>
      <c r="J9" s="48" t="s">
        <v>174</v>
      </c>
      <c r="K9" s="48" t="s">
        <v>51</v>
      </c>
      <c r="L9" s="49" t="s">
        <v>12</v>
      </c>
    </row>
    <row r="10" spans="1:12" ht="90">
      <c r="A10" s="1" t="s">
        <v>118</v>
      </c>
      <c r="B10" s="1" t="s">
        <v>164</v>
      </c>
      <c r="C10" s="35"/>
      <c r="D10" s="36" t="s">
        <v>37</v>
      </c>
      <c r="E10" s="37">
        <f>SUMIF(frg_groups,$B10,ben_dac)/k</f>
        <v>51.53590880365077</v>
      </c>
      <c r="F10" s="37">
        <f>SUMIF(frg_groups,$B10,ben_w3r)/k</f>
        <v>49.15853057292386</v>
      </c>
      <c r="G10" s="47"/>
      <c r="H10" s="47"/>
      <c r="I10" s="39" t="str">
        <f t="shared" si="0"/>
        <v>* * *</v>
      </c>
      <c r="J10" s="48" t="s">
        <v>200</v>
      </c>
      <c r="K10" s="48"/>
      <c r="L10" s="49" t="s">
        <v>13</v>
      </c>
    </row>
    <row r="11" spans="1:12" ht="45">
      <c r="A11" s="1" t="s">
        <v>117</v>
      </c>
      <c r="B11" s="1" t="s">
        <v>170</v>
      </c>
      <c r="C11" s="35"/>
      <c r="D11" s="36" t="s">
        <v>123</v>
      </c>
      <c r="E11" s="37">
        <f>SUMIF(frg_groups,$B11,ben_dac)/k</f>
        <v>19.142170959999987</v>
      </c>
      <c r="F11" s="37">
        <f>SUMIF(frg_groups,$B11,ben_w3r)/k</f>
        <v>24.227631175412274</v>
      </c>
      <c r="G11" s="47"/>
      <c r="H11" s="47"/>
      <c r="I11" s="39" t="str">
        <f t="shared" si="0"/>
        <v>* *</v>
      </c>
      <c r="J11" s="48" t="s">
        <v>175</v>
      </c>
      <c r="K11" s="48"/>
      <c r="L11" s="49" t="s">
        <v>14</v>
      </c>
    </row>
    <row r="12" spans="1:12" ht="30">
      <c r="A12" s="1" t="s">
        <v>116</v>
      </c>
      <c r="C12" s="35"/>
      <c r="D12" s="36" t="s">
        <v>124</v>
      </c>
      <c r="E12" s="37">
        <v>60</v>
      </c>
      <c r="F12" s="50">
        <v>80</v>
      </c>
      <c r="G12" s="47"/>
      <c r="H12" s="47"/>
      <c r="I12" s="39" t="str">
        <f t="shared" si="0"/>
        <v>*</v>
      </c>
      <c r="J12" s="48" t="s">
        <v>176</v>
      </c>
      <c r="K12" s="51">
        <v>38824</v>
      </c>
      <c r="L12" s="52" t="s">
        <v>18</v>
      </c>
    </row>
    <row r="13" spans="1:12" ht="90">
      <c r="A13" s="1" t="s">
        <v>117</v>
      </c>
      <c r="B13" s="1" t="s">
        <v>95</v>
      </c>
      <c r="C13" s="35"/>
      <c r="D13" s="36" t="s">
        <v>125</v>
      </c>
      <c r="E13" s="37">
        <f>SUMIF(frg_groups,$B13,ben_dac)/k</f>
        <v>942.5010909950618</v>
      </c>
      <c r="F13" s="37">
        <f>SUMIF(frg_groups,$B13,ben_w3r)/k</f>
        <v>1272.4496039553185</v>
      </c>
      <c r="G13" s="47"/>
      <c r="H13" s="47"/>
      <c r="I13" s="39" t="str">
        <f t="shared" si="0"/>
        <v>* *</v>
      </c>
      <c r="J13" s="48" t="s">
        <v>177</v>
      </c>
      <c r="K13" s="51"/>
      <c r="L13" s="52" t="s">
        <v>15</v>
      </c>
    </row>
    <row r="14" spans="1:12" ht="45">
      <c r="A14" s="1" t="s">
        <v>118</v>
      </c>
      <c r="B14" s="1" t="s">
        <v>166</v>
      </c>
      <c r="C14" s="35"/>
      <c r="D14" s="36" t="s">
        <v>126</v>
      </c>
      <c r="E14" s="37">
        <f>SUMIF(frg_groups,$B14,ben_dac)/k</f>
        <v>42.36424</v>
      </c>
      <c r="F14" s="37">
        <f>SUMIF(frg_groups,$B14,ben_w3r)/k</f>
        <v>53.4856</v>
      </c>
      <c r="G14" s="47"/>
      <c r="H14" s="47"/>
      <c r="I14" s="39" t="str">
        <f t="shared" si="0"/>
        <v>* * *</v>
      </c>
      <c r="J14" s="48" t="s">
        <v>178</v>
      </c>
      <c r="K14" s="51"/>
      <c r="L14" s="52" t="s">
        <v>179</v>
      </c>
    </row>
    <row r="15" spans="1:12" ht="60">
      <c r="A15" s="1" t="s">
        <v>118</v>
      </c>
      <c r="B15" s="1" t="s">
        <v>165</v>
      </c>
      <c r="C15" s="35"/>
      <c r="D15" s="36" t="s">
        <v>127</v>
      </c>
      <c r="E15" s="37">
        <f>SUMIF(frg_groups,$B15,ben_dac)/k</f>
        <v>27.15915</v>
      </c>
      <c r="F15" s="37">
        <f>SUMIF(frg_groups,$B15,ben_w3r)/k</f>
        <v>40.79955</v>
      </c>
      <c r="G15" s="47"/>
      <c r="H15" s="47"/>
      <c r="I15" s="39" t="str">
        <f t="shared" si="0"/>
        <v>* * *</v>
      </c>
      <c r="J15" s="48" t="s">
        <v>180</v>
      </c>
      <c r="K15" s="51"/>
      <c r="L15" s="52" t="s">
        <v>201</v>
      </c>
    </row>
    <row r="16" spans="1:12" ht="45">
      <c r="A16" s="1" t="s">
        <v>118</v>
      </c>
      <c r="C16" s="35"/>
      <c r="D16" s="53" t="s">
        <v>128</v>
      </c>
      <c r="E16" s="37"/>
      <c r="F16" s="37"/>
      <c r="G16" s="38"/>
      <c r="H16" s="38"/>
      <c r="I16" s="39" t="str">
        <f t="shared" si="0"/>
        <v>* * *</v>
      </c>
      <c r="J16" s="54" t="s">
        <v>202</v>
      </c>
      <c r="K16" s="55" t="s">
        <v>131</v>
      </c>
      <c r="L16" s="56" t="s">
        <v>13</v>
      </c>
    </row>
    <row r="17" spans="1:12" ht="45">
      <c r="A17" s="1" t="s">
        <v>117</v>
      </c>
      <c r="B17" s="1" t="s">
        <v>87</v>
      </c>
      <c r="C17" s="35"/>
      <c r="D17" s="53" t="s">
        <v>129</v>
      </c>
      <c r="E17" s="37">
        <f>SUMIF(frg_groups,$B17,ben_dac)/k</f>
        <v>31.893463979999996</v>
      </c>
      <c r="F17" s="37">
        <f>SUMIF(frg_groups,$B17,ben_w3r)/k</f>
        <v>45.56529917391879</v>
      </c>
      <c r="G17" s="38"/>
      <c r="H17" s="38"/>
      <c r="I17" s="39" t="str">
        <f t="shared" si="0"/>
        <v>* *</v>
      </c>
      <c r="J17" s="57" t="s">
        <v>169</v>
      </c>
      <c r="K17" s="58" t="s">
        <v>132</v>
      </c>
      <c r="L17" s="56" t="s">
        <v>13</v>
      </c>
    </row>
    <row r="18" spans="1:12" ht="90.75" thickBot="1">
      <c r="A18" s="1" t="s">
        <v>118</v>
      </c>
      <c r="C18" s="35"/>
      <c r="D18" s="53" t="s">
        <v>130</v>
      </c>
      <c r="E18" s="37"/>
      <c r="F18" s="59"/>
      <c r="G18" s="38"/>
      <c r="H18" s="38"/>
      <c r="I18" s="39" t="str">
        <f t="shared" si="0"/>
        <v>* * *</v>
      </c>
      <c r="J18" s="57" t="s">
        <v>203</v>
      </c>
      <c r="K18" s="58"/>
      <c r="L18" s="56" t="s">
        <v>13</v>
      </c>
    </row>
    <row r="19" spans="1:12" s="61" customFormat="1" ht="12.75" customHeight="1" thickBot="1">
      <c r="A19" s="60"/>
      <c r="B19" s="60"/>
      <c r="C19" s="197" t="s">
        <v>20</v>
      </c>
      <c r="D19" s="198"/>
      <c r="E19" s="198"/>
      <c r="F19" s="198"/>
      <c r="G19" s="198"/>
      <c r="H19" s="198"/>
      <c r="I19" s="199"/>
      <c r="J19" s="198"/>
      <c r="K19" s="198"/>
      <c r="L19" s="200"/>
    </row>
    <row r="20" spans="1:12" ht="105">
      <c r="A20" s="1" t="s">
        <v>118</v>
      </c>
      <c r="B20" s="1" t="s">
        <v>80</v>
      </c>
      <c r="C20" s="62"/>
      <c r="D20" s="63" t="s">
        <v>133</v>
      </c>
      <c r="E20" s="37">
        <f>SUMIF(frg_groups,$B20,ben_dac)/k</f>
        <v>1131.0258571009454</v>
      </c>
      <c r="F20" s="37">
        <f>SUMIF(frg_groups,$B20,ben_w3r)/k</f>
        <v>0</v>
      </c>
      <c r="G20" s="38"/>
      <c r="H20" s="38"/>
      <c r="I20" s="39" t="str">
        <f>VLOOKUP(A20,risklu,2,0)</f>
        <v>* * *</v>
      </c>
      <c r="J20" s="64" t="s">
        <v>204</v>
      </c>
      <c r="K20" s="40"/>
      <c r="L20" s="41" t="s">
        <v>172</v>
      </c>
    </row>
    <row r="21" spans="1:12" ht="45">
      <c r="A21" s="1" t="s">
        <v>118</v>
      </c>
      <c r="B21" s="1" t="s">
        <v>89</v>
      </c>
      <c r="C21" s="42"/>
      <c r="D21" s="43" t="s">
        <v>134</v>
      </c>
      <c r="E21" s="37">
        <f>SUMIF(frg_groups,$B21,ben_dac)/k</f>
        <v>350.4264502492177</v>
      </c>
      <c r="F21" s="37">
        <f>SUMIF(frg_groups,$B21,ben_w3r)/k</f>
        <v>490.50294691449585</v>
      </c>
      <c r="G21" s="44"/>
      <c r="H21" s="44"/>
      <c r="I21" s="39" t="str">
        <f>VLOOKUP(A21,risklu,2,0)</f>
        <v>* * *</v>
      </c>
      <c r="J21" s="58" t="s">
        <v>181</v>
      </c>
      <c r="K21" s="58"/>
      <c r="L21" s="52" t="s">
        <v>16</v>
      </c>
    </row>
    <row r="22" spans="1:12" ht="75">
      <c r="A22" s="1" t="s">
        <v>117</v>
      </c>
      <c r="B22" s="1" t="s">
        <v>91</v>
      </c>
      <c r="C22" s="35"/>
      <c r="D22" s="36" t="s">
        <v>17</v>
      </c>
      <c r="E22" s="37">
        <f>SUMIF(frg_groups,$B22,ben_dac)/k</f>
        <v>51.03671764548994</v>
      </c>
      <c r="F22" s="37">
        <f>SUMIF(frg_groups,$B22,ben_w3r)/k</f>
        <v>71.4377022286769</v>
      </c>
      <c r="G22" s="44"/>
      <c r="H22" s="44"/>
      <c r="I22" s="39" t="str">
        <f>VLOOKUP(A22,risklu,2,0)</f>
        <v>* *</v>
      </c>
      <c r="J22" s="48" t="s">
        <v>182</v>
      </c>
      <c r="K22" s="48"/>
      <c r="L22" s="49" t="s">
        <v>16</v>
      </c>
    </row>
    <row r="23" spans="3:12" ht="15.75" thickBot="1">
      <c r="C23" s="65"/>
      <c r="D23" s="66"/>
      <c r="E23" s="67"/>
      <c r="F23" s="59"/>
      <c r="G23" s="68"/>
      <c r="H23" s="68"/>
      <c r="I23" s="39" t="e">
        <f>VLOOKUP(A23,risklu,2,0)</f>
        <v>#N/A</v>
      </c>
      <c r="J23" s="69"/>
      <c r="K23" s="69"/>
      <c r="L23" s="70"/>
    </row>
    <row r="24" spans="1:12" s="71" customFormat="1" ht="15.75" customHeight="1" thickBot="1">
      <c r="A24" s="1"/>
      <c r="B24" s="1"/>
      <c r="C24" s="197" t="s">
        <v>43</v>
      </c>
      <c r="D24" s="198"/>
      <c r="E24" s="198"/>
      <c r="F24" s="198"/>
      <c r="G24" s="198"/>
      <c r="H24" s="198"/>
      <c r="I24" s="198"/>
      <c r="J24" s="198"/>
      <c r="K24" s="198"/>
      <c r="L24" s="200"/>
    </row>
    <row r="25" spans="1:12" ht="75">
      <c r="A25" s="1" t="s">
        <v>116</v>
      </c>
      <c r="B25" s="1" t="s">
        <v>107</v>
      </c>
      <c r="C25" s="62"/>
      <c r="D25" s="63" t="s">
        <v>44</v>
      </c>
      <c r="E25" s="37">
        <f>SUMIF(frg_groups,$B25,ben_dac)/k</f>
        <v>57.16779630909751</v>
      </c>
      <c r="F25" s="37">
        <f>SUMIF(frg_groups,$B25,ben_w3r)/k</f>
        <v>68.70344200282105</v>
      </c>
      <c r="G25" s="38"/>
      <c r="H25" s="38"/>
      <c r="I25" s="39" t="str">
        <f>VLOOKUP(A25,risklu,2,0)</f>
        <v>*</v>
      </c>
      <c r="J25" s="40" t="s">
        <v>205</v>
      </c>
      <c r="K25" s="40"/>
      <c r="L25" s="41" t="s">
        <v>18</v>
      </c>
    </row>
    <row r="26" spans="1:12" ht="15">
      <c r="A26" s="1" t="s">
        <v>116</v>
      </c>
      <c r="B26" s="1" t="s">
        <v>108</v>
      </c>
      <c r="C26" s="42"/>
      <c r="D26" s="43" t="s">
        <v>45</v>
      </c>
      <c r="E26" s="37">
        <f>SUMIF(frg_groups,$B26,ben_dac)/k</f>
        <v>23.067707282618294</v>
      </c>
      <c r="F26" s="37">
        <f>SUMIF(frg_groups,$B26,ben_w3r)/k</f>
        <v>27.87965762433318</v>
      </c>
      <c r="G26" s="44"/>
      <c r="H26" s="44"/>
      <c r="I26" s="39" t="str">
        <f>VLOOKUP(A26,risklu,2,0)</f>
        <v>*</v>
      </c>
      <c r="J26" s="58" t="s">
        <v>183</v>
      </c>
      <c r="K26" s="45"/>
      <c r="L26" s="46" t="s">
        <v>18</v>
      </c>
    </row>
    <row r="27" spans="1:12" ht="15">
      <c r="A27" s="1" t="s">
        <v>117</v>
      </c>
      <c r="B27" s="1" t="s">
        <v>109</v>
      </c>
      <c r="C27" s="42"/>
      <c r="D27" s="43" t="s">
        <v>53</v>
      </c>
      <c r="E27" s="37">
        <f>SUMIF(frg_groups,$B27,ben_dac)/k</f>
        <v>33.849353077755104</v>
      </c>
      <c r="F27" s="37">
        <f>SUMIF(frg_groups,$B27,ben_w3r)/k</f>
        <v>40.32593334948192</v>
      </c>
      <c r="G27" s="44"/>
      <c r="H27" s="44"/>
      <c r="I27" s="39" t="str">
        <f>VLOOKUP(A27,risklu,2,0)</f>
        <v>* *</v>
      </c>
      <c r="J27" s="58" t="s">
        <v>183</v>
      </c>
      <c r="K27" s="45" t="s">
        <v>135</v>
      </c>
      <c r="L27" s="46" t="s">
        <v>14</v>
      </c>
    </row>
    <row r="28" spans="1:12" ht="30">
      <c r="A28" s="1" t="s">
        <v>116</v>
      </c>
      <c r="B28" s="1" t="s">
        <v>110</v>
      </c>
      <c r="C28" s="35"/>
      <c r="D28" s="36" t="s">
        <v>54</v>
      </c>
      <c r="E28" s="37">
        <f>SUMIF(frg_groups,$B28,ben_dac)/k</f>
        <v>8.02355035917158</v>
      </c>
      <c r="F28" s="37">
        <f>SUMIF(frg_groups,$B28,ben_w3r)/k</f>
        <v>9.957020580118991</v>
      </c>
      <c r="G28" s="47"/>
      <c r="H28" s="47"/>
      <c r="I28" s="39" t="str">
        <f>VLOOKUP(A28,risklu,2,0)</f>
        <v>*</v>
      </c>
      <c r="J28" s="72" t="s">
        <v>136</v>
      </c>
      <c r="K28" s="48"/>
      <c r="L28" s="49" t="s">
        <v>14</v>
      </c>
    </row>
    <row r="29" spans="1:12" ht="30.75" thickBot="1">
      <c r="A29" s="1" t="s">
        <v>116</v>
      </c>
      <c r="B29" s="1" t="s">
        <v>111</v>
      </c>
      <c r="C29" s="62"/>
      <c r="D29" s="63" t="s">
        <v>55</v>
      </c>
      <c r="E29" s="37">
        <f>SUMIF(frg_groups,$B29,ben_dac)/k</f>
        <v>11.032381743860924</v>
      </c>
      <c r="F29" s="37">
        <f>SUMIF(frg_groups,$B29,ben_w3r)/k</f>
        <v>12.944126754154693</v>
      </c>
      <c r="G29" s="38"/>
      <c r="H29" s="38"/>
      <c r="I29" s="39" t="str">
        <f>VLOOKUP(A29,risklu,2,0)</f>
        <v>*</v>
      </c>
      <c r="J29" s="72" t="s">
        <v>136</v>
      </c>
      <c r="K29" s="40"/>
      <c r="L29" s="41" t="s">
        <v>14</v>
      </c>
    </row>
    <row r="30" spans="1:12" s="61" customFormat="1" ht="12.75" customHeight="1" thickBot="1">
      <c r="A30" s="60"/>
      <c r="B30" s="60"/>
      <c r="C30" s="197" t="s">
        <v>21</v>
      </c>
      <c r="D30" s="198"/>
      <c r="E30" s="198"/>
      <c r="F30" s="198"/>
      <c r="G30" s="198"/>
      <c r="H30" s="198"/>
      <c r="I30" s="198"/>
      <c r="J30" s="198"/>
      <c r="K30" s="198"/>
      <c r="L30" s="200"/>
    </row>
    <row r="31" spans="1:12" ht="30">
      <c r="A31" s="1" t="s">
        <v>116</v>
      </c>
      <c r="C31" s="35"/>
      <c r="D31" s="73" t="s">
        <v>22</v>
      </c>
      <c r="E31" s="74">
        <f>0.1363*911</f>
        <v>124.1693</v>
      </c>
      <c r="F31" s="75">
        <f>911*0.1641</f>
        <v>149.4951</v>
      </c>
      <c r="G31" s="47"/>
      <c r="H31" s="47"/>
      <c r="I31" s="39" t="str">
        <f>VLOOKUP(A31,risklu,2,0)</f>
        <v>*</v>
      </c>
      <c r="J31" s="76" t="s">
        <v>185</v>
      </c>
      <c r="K31" s="76"/>
      <c r="L31" s="77" t="s">
        <v>23</v>
      </c>
    </row>
    <row r="32" spans="1:12" ht="15">
      <c r="A32" s="1" t="s">
        <v>117</v>
      </c>
      <c r="C32" s="35"/>
      <c r="D32" s="63" t="s">
        <v>138</v>
      </c>
      <c r="E32" s="78">
        <v>14</v>
      </c>
      <c r="F32" s="79">
        <v>16</v>
      </c>
      <c r="G32" s="38"/>
      <c r="H32" s="38"/>
      <c r="I32" s="39" t="str">
        <f>VLOOKUP(A32,risklu,2,0)</f>
        <v>* *</v>
      </c>
      <c r="J32" s="40" t="s">
        <v>184</v>
      </c>
      <c r="K32" s="40"/>
      <c r="L32" s="80" t="s">
        <v>23</v>
      </c>
    </row>
    <row r="33" spans="1:12" ht="45.75" thickBot="1">
      <c r="A33" s="1" t="s">
        <v>118</v>
      </c>
      <c r="C33" s="62"/>
      <c r="D33" s="81" t="s">
        <v>139</v>
      </c>
      <c r="E33" s="82">
        <v>104</v>
      </c>
      <c r="F33" s="82">
        <v>125</v>
      </c>
      <c r="G33" s="83"/>
      <c r="H33" s="83"/>
      <c r="I33" s="39" t="str">
        <f>VLOOKUP(A33,risklu,2,0)</f>
        <v>* * *</v>
      </c>
      <c r="J33" s="84" t="s">
        <v>186</v>
      </c>
      <c r="K33" s="84"/>
      <c r="L33" s="85" t="s">
        <v>140</v>
      </c>
    </row>
    <row r="34" spans="1:12" s="86" customFormat="1" ht="16.5" thickBot="1">
      <c r="A34" s="60"/>
      <c r="B34" s="60"/>
      <c r="C34" s="201" t="s">
        <v>24</v>
      </c>
      <c r="D34" s="202"/>
      <c r="E34" s="202"/>
      <c r="F34" s="202"/>
      <c r="G34" s="202"/>
      <c r="H34" s="202"/>
      <c r="I34" s="202"/>
      <c r="J34" s="202"/>
      <c r="K34" s="202"/>
      <c r="L34" s="203"/>
    </row>
    <row r="35" spans="1:12" ht="45">
      <c r="A35" s="1" t="s">
        <v>116</v>
      </c>
      <c r="C35" s="35"/>
      <c r="D35" s="87" t="s">
        <v>25</v>
      </c>
      <c r="E35" s="88">
        <v>31.559</v>
      </c>
      <c r="F35" s="88">
        <v>46.031</v>
      </c>
      <c r="G35" s="89"/>
      <c r="H35" s="89"/>
      <c r="I35" s="39" t="str">
        <f aca="true" t="shared" si="1" ref="I35:I45">VLOOKUP(A35,risklu,2,0)</f>
        <v>*</v>
      </c>
      <c r="J35" s="40" t="s">
        <v>187</v>
      </c>
      <c r="K35" s="90"/>
      <c r="L35" s="91" t="s">
        <v>26</v>
      </c>
    </row>
    <row r="36" spans="1:12" ht="45">
      <c r="A36" s="1" t="s">
        <v>118</v>
      </c>
      <c r="C36" s="35"/>
      <c r="D36" s="92" t="s">
        <v>141</v>
      </c>
      <c r="E36" s="93">
        <v>25.6</v>
      </c>
      <c r="F36" s="93">
        <v>29.215</v>
      </c>
      <c r="G36" s="94"/>
      <c r="H36" s="94"/>
      <c r="I36" s="39" t="str">
        <f t="shared" si="1"/>
        <v>* * *</v>
      </c>
      <c r="J36" s="95" t="s">
        <v>188</v>
      </c>
      <c r="K36" s="95"/>
      <c r="L36" s="96" t="s">
        <v>27</v>
      </c>
    </row>
    <row r="37" spans="1:12" ht="30">
      <c r="A37" s="1" t="s">
        <v>117</v>
      </c>
      <c r="C37" s="35"/>
      <c r="D37" s="92" t="s">
        <v>40</v>
      </c>
      <c r="E37" s="93">
        <v>33</v>
      </c>
      <c r="F37" s="93">
        <v>51</v>
      </c>
      <c r="G37" s="94"/>
      <c r="H37" s="94"/>
      <c r="I37" s="39" t="str">
        <f t="shared" si="1"/>
        <v>* *</v>
      </c>
      <c r="J37" s="95" t="s">
        <v>59</v>
      </c>
      <c r="K37" s="95"/>
      <c r="L37" s="52" t="s">
        <v>18</v>
      </c>
    </row>
    <row r="38" spans="1:12" ht="33.75" customHeight="1">
      <c r="A38" s="1" t="s">
        <v>117</v>
      </c>
      <c r="B38" s="1" t="s">
        <v>104</v>
      </c>
      <c r="C38" s="35"/>
      <c r="D38" s="97" t="s">
        <v>142</v>
      </c>
      <c r="E38" s="37">
        <f>SUMIF(frg_groups,$B38,ben_dac)/k</f>
        <v>17.800605</v>
      </c>
      <c r="F38" s="37">
        <f>SUMIF(frg_groups,$B38,ben_w3r)/k</f>
        <v>22.339995</v>
      </c>
      <c r="G38" s="98"/>
      <c r="H38" s="98"/>
      <c r="I38" s="39" t="str">
        <f t="shared" si="1"/>
        <v>* *</v>
      </c>
      <c r="J38" s="54" t="s">
        <v>206</v>
      </c>
      <c r="K38" s="55"/>
      <c r="L38" s="56" t="s">
        <v>13</v>
      </c>
    </row>
    <row r="39" spans="1:12" ht="75">
      <c r="A39" s="1" t="s">
        <v>118</v>
      </c>
      <c r="C39" s="35"/>
      <c r="D39" s="97" t="s">
        <v>143</v>
      </c>
      <c r="E39" s="99"/>
      <c r="F39" s="99"/>
      <c r="G39" s="98"/>
      <c r="H39" s="98"/>
      <c r="I39" s="39" t="str">
        <f t="shared" si="1"/>
        <v>* * *</v>
      </c>
      <c r="J39" s="57" t="s">
        <v>207</v>
      </c>
      <c r="K39" s="58" t="s">
        <v>49</v>
      </c>
      <c r="L39" s="56" t="s">
        <v>13</v>
      </c>
    </row>
    <row r="40" spans="1:12" ht="31.5" customHeight="1">
      <c r="A40" s="1" t="s">
        <v>117</v>
      </c>
      <c r="C40" s="35"/>
      <c r="D40" s="97" t="s">
        <v>144</v>
      </c>
      <c r="E40" s="99">
        <v>67</v>
      </c>
      <c r="F40" s="99">
        <v>83</v>
      </c>
      <c r="G40" s="98"/>
      <c r="H40" s="98"/>
      <c r="I40" s="39" t="str">
        <f t="shared" si="1"/>
        <v>* *</v>
      </c>
      <c r="J40" s="58" t="s">
        <v>208</v>
      </c>
      <c r="K40" s="55"/>
      <c r="L40" s="100" t="s">
        <v>15</v>
      </c>
    </row>
    <row r="41" spans="1:12" ht="75">
      <c r="A41" s="1" t="s">
        <v>116</v>
      </c>
      <c r="C41" s="35"/>
      <c r="D41" s="101" t="s">
        <v>145</v>
      </c>
      <c r="E41" s="93">
        <v>277</v>
      </c>
      <c r="F41" s="93"/>
      <c r="G41" s="94"/>
      <c r="H41" s="94"/>
      <c r="I41" s="39" t="str">
        <f t="shared" si="1"/>
        <v>*</v>
      </c>
      <c r="J41" s="57" t="s">
        <v>189</v>
      </c>
      <c r="K41" s="57"/>
      <c r="L41" s="102" t="s">
        <v>13</v>
      </c>
    </row>
    <row r="42" spans="1:12" ht="45">
      <c r="A42" s="1" t="s">
        <v>118</v>
      </c>
      <c r="C42" s="35"/>
      <c r="D42" s="101" t="s">
        <v>146</v>
      </c>
      <c r="E42" s="93">
        <v>10</v>
      </c>
      <c r="F42" s="93">
        <v>10</v>
      </c>
      <c r="G42" s="94"/>
      <c r="H42" s="94"/>
      <c r="I42" s="39" t="str">
        <f t="shared" si="1"/>
        <v>* * *</v>
      </c>
      <c r="J42" s="57" t="s">
        <v>190</v>
      </c>
      <c r="K42" s="57"/>
      <c r="L42" s="102" t="s">
        <v>15</v>
      </c>
    </row>
    <row r="43" spans="3:12" ht="15">
      <c r="C43" s="35"/>
      <c r="D43" s="101"/>
      <c r="E43" s="93"/>
      <c r="F43" s="93"/>
      <c r="G43" s="94"/>
      <c r="H43" s="94"/>
      <c r="I43" s="39" t="e">
        <f t="shared" si="1"/>
        <v>#N/A</v>
      </c>
      <c r="J43" s="57"/>
      <c r="K43" s="57"/>
      <c r="L43" s="102"/>
    </row>
    <row r="44" spans="3:12" ht="15">
      <c r="C44" s="35"/>
      <c r="D44" s="101"/>
      <c r="E44" s="93"/>
      <c r="F44" s="93"/>
      <c r="G44" s="94"/>
      <c r="H44" s="94"/>
      <c r="I44" s="39" t="e">
        <f t="shared" si="1"/>
        <v>#N/A</v>
      </c>
      <c r="J44" s="57"/>
      <c r="K44" s="57"/>
      <c r="L44" s="102"/>
    </row>
    <row r="45" spans="3:12" ht="15.75" thickBot="1">
      <c r="C45" s="35"/>
      <c r="D45" s="103"/>
      <c r="E45" s="37"/>
      <c r="F45" s="37"/>
      <c r="G45" s="89"/>
      <c r="H45" s="89"/>
      <c r="I45" s="39" t="e">
        <f t="shared" si="1"/>
        <v>#N/A</v>
      </c>
      <c r="J45" s="104"/>
      <c r="K45" s="104"/>
      <c r="L45" s="105"/>
    </row>
    <row r="46" spans="1:12" s="86" customFormat="1" ht="16.5" thickBot="1">
      <c r="A46" s="60"/>
      <c r="B46" s="60"/>
      <c r="C46" s="201" t="s">
        <v>28</v>
      </c>
      <c r="D46" s="202"/>
      <c r="E46" s="202"/>
      <c r="F46" s="202"/>
      <c r="G46" s="202"/>
      <c r="H46" s="202"/>
      <c r="I46" s="202"/>
      <c r="J46" s="202"/>
      <c r="K46" s="202"/>
      <c r="L46" s="203"/>
    </row>
    <row r="47" spans="1:12" ht="60">
      <c r="A47" s="1" t="s">
        <v>116</v>
      </c>
      <c r="C47" s="17"/>
      <c r="D47" s="106" t="s">
        <v>147</v>
      </c>
      <c r="E47" s="88">
        <v>457</v>
      </c>
      <c r="F47" s="93">
        <v>445</v>
      </c>
      <c r="G47" s="107"/>
      <c r="H47" s="107"/>
      <c r="I47" s="39" t="str">
        <f>VLOOKUP(A47,risklu,2,0)</f>
        <v>*</v>
      </c>
      <c r="J47" s="108" t="s">
        <v>191</v>
      </c>
      <c r="K47" s="109">
        <v>38808</v>
      </c>
      <c r="L47" s="105" t="s">
        <v>16</v>
      </c>
    </row>
    <row r="48" spans="1:12" ht="15">
      <c r="A48" s="1" t="s">
        <v>116</v>
      </c>
      <c r="C48" s="110"/>
      <c r="D48" s="111" t="s">
        <v>148</v>
      </c>
      <c r="E48" s="93">
        <v>214</v>
      </c>
      <c r="F48" s="93">
        <v>358</v>
      </c>
      <c r="G48" s="112"/>
      <c r="H48" s="112"/>
      <c r="I48" s="39" t="str">
        <f>VLOOKUP(A48,risklu,2,0)</f>
        <v>*</v>
      </c>
      <c r="J48" s="113" t="s">
        <v>183</v>
      </c>
      <c r="K48" s="114">
        <v>38808</v>
      </c>
      <c r="L48" s="102" t="s">
        <v>39</v>
      </c>
    </row>
    <row r="49" spans="1:12" ht="15">
      <c r="A49" s="1" t="s">
        <v>116</v>
      </c>
      <c r="C49" s="110"/>
      <c r="D49" s="111" t="s">
        <v>38</v>
      </c>
      <c r="E49" s="93">
        <v>0</v>
      </c>
      <c r="F49" s="93">
        <v>34</v>
      </c>
      <c r="G49" s="112"/>
      <c r="H49" s="112"/>
      <c r="I49" s="39" t="str">
        <f>VLOOKUP(A49,risklu,2,0)</f>
        <v>*</v>
      </c>
      <c r="J49" s="113" t="s">
        <v>52</v>
      </c>
      <c r="K49" s="115"/>
      <c r="L49" s="102" t="s">
        <v>29</v>
      </c>
    </row>
    <row r="50" spans="1:12" ht="60.75" thickBot="1">
      <c r="A50" s="1" t="s">
        <v>117</v>
      </c>
      <c r="C50" s="17"/>
      <c r="D50" s="116" t="s">
        <v>41</v>
      </c>
      <c r="E50" s="117"/>
      <c r="F50" s="93">
        <v>71.83619999999999</v>
      </c>
      <c r="G50" s="118"/>
      <c r="H50" s="118"/>
      <c r="I50" s="39" t="str">
        <f>VLOOKUP(A50,risklu,2,0)</f>
        <v>* *</v>
      </c>
      <c r="J50" s="108" t="s">
        <v>192</v>
      </c>
      <c r="K50" s="108"/>
      <c r="L50" s="119" t="s">
        <v>46</v>
      </c>
    </row>
    <row r="51" spans="1:12" s="61" customFormat="1" ht="16.5" thickBot="1">
      <c r="A51" s="60"/>
      <c r="B51" s="60"/>
      <c r="C51" s="201" t="s">
        <v>30</v>
      </c>
      <c r="D51" s="202"/>
      <c r="E51" s="202"/>
      <c r="F51" s="202"/>
      <c r="G51" s="202"/>
      <c r="H51" s="202"/>
      <c r="I51" s="202"/>
      <c r="J51" s="202"/>
      <c r="K51" s="202"/>
      <c r="L51" s="203"/>
    </row>
    <row r="52" spans="1:12" ht="30">
      <c r="A52" s="1" t="s">
        <v>116</v>
      </c>
      <c r="C52" s="17"/>
      <c r="D52" s="120" t="s">
        <v>149</v>
      </c>
      <c r="E52" s="121">
        <v>565</v>
      </c>
      <c r="F52" s="121">
        <v>680</v>
      </c>
      <c r="G52" s="122"/>
      <c r="H52" s="122"/>
      <c r="I52" s="39" t="str">
        <f>VLOOKUP(A52,risklu,2,0)</f>
        <v>*</v>
      </c>
      <c r="J52" s="58" t="s">
        <v>193</v>
      </c>
      <c r="K52" s="123"/>
      <c r="L52" s="119" t="s">
        <v>29</v>
      </c>
    </row>
    <row r="53" spans="3:12" ht="15.75" thickBot="1">
      <c r="C53" s="124"/>
      <c r="D53" s="125"/>
      <c r="E53" s="82"/>
      <c r="F53" s="82"/>
      <c r="G53" s="126"/>
      <c r="H53" s="126"/>
      <c r="I53" s="39" t="e">
        <f>VLOOKUP(A53,risklu,2,0)</f>
        <v>#N/A</v>
      </c>
      <c r="J53" s="123"/>
      <c r="K53" s="84"/>
      <c r="L53" s="127"/>
    </row>
    <row r="54" spans="1:12" s="129" customFormat="1" ht="15" customHeight="1" thickBot="1">
      <c r="A54" s="128"/>
      <c r="B54" s="128"/>
      <c r="C54" s="197" t="s">
        <v>31</v>
      </c>
      <c r="D54" s="198"/>
      <c r="E54" s="198"/>
      <c r="F54" s="198"/>
      <c r="G54" s="198"/>
      <c r="H54" s="198"/>
      <c r="I54" s="198"/>
      <c r="J54" s="198"/>
      <c r="K54" s="198"/>
      <c r="L54" s="200"/>
    </row>
    <row r="55" spans="1:12" ht="75">
      <c r="A55" s="1" t="s">
        <v>116</v>
      </c>
      <c r="C55" s="9"/>
      <c r="D55" s="123" t="s">
        <v>32</v>
      </c>
      <c r="E55" s="78">
        <v>855.5</v>
      </c>
      <c r="F55" s="78">
        <v>1007.6714000000001</v>
      </c>
      <c r="G55" s="126"/>
      <c r="H55" s="126"/>
      <c r="I55" s="39" t="str">
        <f>VLOOKUP(A55,risklu,2,0)</f>
        <v>*</v>
      </c>
      <c r="J55" s="120" t="s">
        <v>194</v>
      </c>
      <c r="K55" s="123"/>
      <c r="L55" s="105" t="s">
        <v>33</v>
      </c>
    </row>
    <row r="56" spans="1:12" ht="45">
      <c r="A56" s="1" t="s">
        <v>118</v>
      </c>
      <c r="C56" s="110"/>
      <c r="D56" s="58" t="s">
        <v>34</v>
      </c>
      <c r="E56" s="130"/>
      <c r="F56" s="130"/>
      <c r="G56" s="131"/>
      <c r="H56" s="131"/>
      <c r="I56" s="39" t="str">
        <f>VLOOKUP(A56,risklu,2,0)</f>
        <v>* * *</v>
      </c>
      <c r="J56" s="58" t="s">
        <v>195</v>
      </c>
      <c r="K56" s="58"/>
      <c r="L56" s="102" t="s">
        <v>35</v>
      </c>
    </row>
    <row r="57" spans="1:12" ht="45">
      <c r="A57" s="1" t="s">
        <v>118</v>
      </c>
      <c r="C57" s="110"/>
      <c r="D57" s="58" t="s">
        <v>47</v>
      </c>
      <c r="E57" s="130">
        <v>500</v>
      </c>
      <c r="F57" s="130">
        <v>650</v>
      </c>
      <c r="G57" s="131"/>
      <c r="H57" s="131"/>
      <c r="I57" s="39" t="str">
        <f>VLOOKUP(A57,risklu,2,0)</f>
        <v>* * *</v>
      </c>
      <c r="J57" s="58" t="s">
        <v>196</v>
      </c>
      <c r="K57" s="58"/>
      <c r="L57" s="102" t="s">
        <v>46</v>
      </c>
    </row>
    <row r="58" spans="1:12" ht="30.75" thickBot="1">
      <c r="A58" s="1" t="s">
        <v>116</v>
      </c>
      <c r="C58" s="24"/>
      <c r="D58" s="132" t="s">
        <v>48</v>
      </c>
      <c r="E58" s="133">
        <v>74.015</v>
      </c>
      <c r="F58" s="134">
        <v>87.208</v>
      </c>
      <c r="G58" s="135"/>
      <c r="H58" s="135"/>
      <c r="I58" s="39" t="str">
        <f>VLOOKUP(A58,risklu,2,0)</f>
        <v>*</v>
      </c>
      <c r="J58" s="132" t="s">
        <v>197</v>
      </c>
      <c r="K58" s="132"/>
      <c r="L58" s="136" t="s">
        <v>35</v>
      </c>
    </row>
    <row r="59" spans="3:12" ht="16.5" thickBot="1">
      <c r="C59" s="197" t="s">
        <v>150</v>
      </c>
      <c r="D59" s="198"/>
      <c r="E59" s="198"/>
      <c r="F59" s="198"/>
      <c r="G59" s="198"/>
      <c r="H59" s="198"/>
      <c r="I59" s="198"/>
      <c r="J59" s="198"/>
      <c r="K59" s="198"/>
      <c r="L59" s="200"/>
    </row>
    <row r="60" spans="1:12" ht="30.75" thickBot="1">
      <c r="A60" s="1" t="s">
        <v>118</v>
      </c>
      <c r="C60" s="137"/>
      <c r="D60" s="33" t="s">
        <v>151</v>
      </c>
      <c r="E60" s="138"/>
      <c r="F60" s="139"/>
      <c r="G60" s="140"/>
      <c r="H60" s="140"/>
      <c r="I60" s="141" t="str">
        <f>VLOOKUP(A60,risklu,2,0)</f>
        <v>* * *</v>
      </c>
      <c r="J60" s="142" t="s">
        <v>152</v>
      </c>
      <c r="K60" s="142"/>
      <c r="L60" s="143" t="s">
        <v>153</v>
      </c>
    </row>
    <row r="61" spans="3:12" ht="15">
      <c r="C61" s="7"/>
      <c r="D61" s="63"/>
      <c r="E61" s="144"/>
      <c r="F61" s="144"/>
      <c r="G61" s="83"/>
      <c r="H61" s="83"/>
      <c r="I61" s="145"/>
      <c r="J61" s="63"/>
      <c r="K61" s="63"/>
      <c r="L61" s="7"/>
    </row>
    <row r="62" spans="3:12" ht="15">
      <c r="C62" s="7"/>
      <c r="D62" s="63"/>
      <c r="E62" s="144"/>
      <c r="F62" s="144"/>
      <c r="G62" s="83"/>
      <c r="H62" s="83"/>
      <c r="I62" s="146"/>
      <c r="J62" s="63"/>
      <c r="K62" s="63"/>
      <c r="L62" s="7"/>
    </row>
    <row r="63" spans="3:12" ht="15.75" thickBot="1">
      <c r="C63" s="7"/>
      <c r="D63" s="63" t="s">
        <v>56</v>
      </c>
      <c r="E63" s="147">
        <f>+SUM(E7:E60)</f>
        <v>6857.388222152985</v>
      </c>
      <c r="F63" s="147">
        <f>+SUM(F7:F60)</f>
        <v>7166.180531676565</v>
      </c>
      <c r="G63" s="83"/>
      <c r="H63" s="83"/>
      <c r="I63" s="146"/>
      <c r="J63" s="63"/>
      <c r="K63" s="63"/>
      <c r="L63" s="7"/>
    </row>
    <row r="64" spans="3:12" ht="15.75" thickTop="1">
      <c r="C64" s="7"/>
      <c r="D64" s="63"/>
      <c r="G64" s="83"/>
      <c r="H64" s="83"/>
      <c r="I64" s="146"/>
      <c r="J64" s="63"/>
      <c r="K64" s="63"/>
      <c r="L64" s="7"/>
    </row>
    <row r="65" spans="3:12" ht="15">
      <c r="C65" s="7"/>
      <c r="D65" s="63" t="s">
        <v>57</v>
      </c>
      <c r="E65" s="144">
        <v>7600</v>
      </c>
      <c r="F65" s="144">
        <v>8207</v>
      </c>
      <c r="G65" s="83"/>
      <c r="H65" s="83"/>
      <c r="I65" s="146"/>
      <c r="J65" s="63"/>
      <c r="K65" s="63"/>
      <c r="L65" s="7"/>
    </row>
    <row r="66" spans="3:12" ht="15">
      <c r="C66" s="7"/>
      <c r="D66" s="63" t="s">
        <v>58</v>
      </c>
      <c r="E66" s="144">
        <f>+E65*1.33</f>
        <v>10108</v>
      </c>
      <c r="F66" s="144">
        <f>+F65*1.33</f>
        <v>10915.310000000001</v>
      </c>
      <c r="G66" s="83"/>
      <c r="H66" s="83"/>
      <c r="I66" s="146"/>
      <c r="J66" s="63"/>
      <c r="K66" s="63"/>
      <c r="L66" s="7"/>
    </row>
    <row r="67" spans="3:12" ht="15">
      <c r="C67" s="7"/>
      <c r="D67" s="63"/>
      <c r="E67" s="144"/>
      <c r="F67" s="144"/>
      <c r="G67" s="83"/>
      <c r="H67" s="83"/>
      <c r="I67" s="146"/>
      <c r="J67" s="63"/>
      <c r="K67" s="63"/>
      <c r="L67" s="7"/>
    </row>
    <row r="68" spans="1:12" ht="15">
      <c r="A68" s="1" t="s">
        <v>118</v>
      </c>
      <c r="C68" s="7"/>
      <c r="D68" s="148" t="s">
        <v>154</v>
      </c>
      <c r="E68" s="149">
        <f aca="true" t="shared" si="2" ref="E68:F70">SUMIF($A$7:$A$60,$A68,E$7:E$60)</f>
        <v>2242.1116061538137</v>
      </c>
      <c r="F68" s="149">
        <f t="shared" si="2"/>
        <v>1448.1616274874198</v>
      </c>
      <c r="G68" s="150"/>
      <c r="H68" s="150"/>
      <c r="I68" s="151" t="str">
        <f>VLOOKUP(A68,risklu,2,0)</f>
        <v>* * *</v>
      </c>
      <c r="J68" s="63"/>
      <c r="K68" s="63"/>
      <c r="L68" s="7"/>
    </row>
    <row r="69" spans="1:12" ht="15">
      <c r="A69" s="1" t="s">
        <v>117</v>
      </c>
      <c r="C69" s="7"/>
      <c r="D69" s="108" t="s">
        <v>155</v>
      </c>
      <c r="E69" s="144">
        <f t="shared" si="2"/>
        <v>1604.7321758471726</v>
      </c>
      <c r="F69" s="144">
        <f t="shared" si="2"/>
        <v>2294.383920748651</v>
      </c>
      <c r="G69" s="83"/>
      <c r="H69" s="83"/>
      <c r="I69" s="152" t="str">
        <f>VLOOKUP(A69,risklu,2,0)</f>
        <v>* *</v>
      </c>
      <c r="J69" s="63"/>
      <c r="K69" s="63"/>
      <c r="L69" s="7"/>
    </row>
    <row r="70" spans="1:12" ht="15">
      <c r="A70" s="1" t="s">
        <v>116</v>
      </c>
      <c r="C70" s="7"/>
      <c r="D70" s="108" t="s">
        <v>156</v>
      </c>
      <c r="E70" s="144">
        <f t="shared" si="2"/>
        <v>3010.544440151997</v>
      </c>
      <c r="F70" s="144">
        <f t="shared" si="2"/>
        <v>3423.634983440495</v>
      </c>
      <c r="G70" s="83"/>
      <c r="H70" s="83"/>
      <c r="I70" s="152" t="str">
        <f>VLOOKUP(A70,risklu,2,0)</f>
        <v>*</v>
      </c>
      <c r="J70" s="63"/>
      <c r="K70" s="63"/>
      <c r="L70" s="7"/>
    </row>
    <row r="71" spans="3:12" ht="15.75" thickBot="1">
      <c r="C71" s="7"/>
      <c r="D71" s="108" t="s">
        <v>157</v>
      </c>
      <c r="E71" s="147">
        <f>SUM(E68:E70)</f>
        <v>6857.388222152984</v>
      </c>
      <c r="F71" s="147">
        <f>SUM(F68:F70)</f>
        <v>7166.180531676566</v>
      </c>
      <c r="G71" s="83"/>
      <c r="H71" s="83"/>
      <c r="I71" s="153"/>
      <c r="J71" s="63"/>
      <c r="K71" s="63"/>
      <c r="L71" s="7"/>
    </row>
    <row r="72" spans="3:12" ht="16.5" thickTop="1">
      <c r="C72" s="7"/>
      <c r="D72" s="154" t="s">
        <v>162</v>
      </c>
      <c r="E72" s="155">
        <f>+E71-E63</f>
        <v>0</v>
      </c>
      <c r="F72" s="155">
        <f>+F71-F63</f>
        <v>0</v>
      </c>
      <c r="G72" s="156"/>
      <c r="H72" s="156"/>
      <c r="I72" s="157"/>
      <c r="J72" s="63"/>
      <c r="K72" s="63"/>
      <c r="L72" s="7"/>
    </row>
    <row r="73" spans="3:12" ht="15.75">
      <c r="C73" s="8"/>
      <c r="D73" s="158"/>
      <c r="E73" s="159"/>
      <c r="F73" s="160">
        <f>+F71-F63</f>
        <v>0</v>
      </c>
      <c r="G73" s="161"/>
      <c r="H73" s="161"/>
      <c r="I73" s="162"/>
      <c r="J73" s="63"/>
      <c r="K73" s="63"/>
      <c r="L73" s="7"/>
    </row>
    <row r="74" spans="1:12" ht="15">
      <c r="A74" s="1" t="s">
        <v>116</v>
      </c>
      <c r="B74" s="1" t="s">
        <v>119</v>
      </c>
      <c r="C74" s="8"/>
      <c r="D74" s="8"/>
      <c r="E74" s="163"/>
      <c r="F74" s="163"/>
      <c r="G74" s="8"/>
      <c r="H74" s="8"/>
      <c r="I74" s="164"/>
      <c r="J74" s="8"/>
      <c r="K74" s="8"/>
      <c r="L74" s="8"/>
    </row>
    <row r="75" spans="1:12" ht="15">
      <c r="A75" s="1" t="s">
        <v>117</v>
      </c>
      <c r="B75" s="1" t="s">
        <v>160</v>
      </c>
      <c r="L75" s="8"/>
    </row>
    <row r="76" spans="1:12" ht="15">
      <c r="A76" s="1" t="s">
        <v>118</v>
      </c>
      <c r="B76" s="1" t="s">
        <v>161</v>
      </c>
      <c r="L76" s="8"/>
    </row>
    <row r="77" spans="2:12" ht="15">
      <c r="B77" s="1" t="s">
        <v>120</v>
      </c>
      <c r="L77" s="8"/>
    </row>
    <row r="78" ht="15">
      <c r="L78" s="8"/>
    </row>
    <row r="79" ht="15">
      <c r="L79" s="8"/>
    </row>
    <row r="80" spans="1:12" ht="15">
      <c r="A80" s="128"/>
      <c r="B80" s="163" t="s">
        <v>80</v>
      </c>
      <c r="C80" s="8"/>
      <c r="D80" s="8"/>
      <c r="E80" s="144">
        <f>SUMIF($B$7:$B$60,$B80,E$7:E$60)</f>
        <v>1131.0258571009454</v>
      </c>
      <c r="F80" s="144">
        <f>SUMIF($B$7:$B$60,$B80,F$7:F$60)</f>
        <v>0</v>
      </c>
      <c r="L80" s="8"/>
    </row>
    <row r="81" spans="1:12" ht="15">
      <c r="A81" s="128"/>
      <c r="B81" s="163" t="s">
        <v>82</v>
      </c>
      <c r="C81" s="8"/>
      <c r="D81" s="8"/>
      <c r="E81" s="144">
        <f aca="true" t="shared" si="3" ref="E81:F97">SUMIF($B$7:$B$60,$B81,E$7:E$60)</f>
        <v>253.0097044572491</v>
      </c>
      <c r="F81" s="144">
        <f t="shared" si="3"/>
        <v>416.74523647906676</v>
      </c>
      <c r="L81" s="8"/>
    </row>
    <row r="82" spans="1:12" ht="15">
      <c r="A82" s="128"/>
      <c r="B82" s="163" t="s">
        <v>170</v>
      </c>
      <c r="C82" s="8"/>
      <c r="D82" s="8"/>
      <c r="E82" s="144">
        <f t="shared" si="3"/>
        <v>19.142170959999987</v>
      </c>
      <c r="F82" s="144">
        <f t="shared" si="3"/>
        <v>24.227631175412274</v>
      </c>
      <c r="L82" s="8"/>
    </row>
    <row r="83" spans="1:12" ht="15">
      <c r="A83" s="128"/>
      <c r="B83" s="163" t="s">
        <v>164</v>
      </c>
      <c r="C83" s="8"/>
      <c r="D83" s="8"/>
      <c r="E83" s="144">
        <f t="shared" si="3"/>
        <v>51.53590880365077</v>
      </c>
      <c r="F83" s="144">
        <f t="shared" si="3"/>
        <v>49.15853057292386</v>
      </c>
      <c r="L83" s="8"/>
    </row>
    <row r="84" spans="1:12" ht="15">
      <c r="A84" s="128"/>
      <c r="B84" s="163" t="s">
        <v>165</v>
      </c>
      <c r="C84" s="8"/>
      <c r="D84" s="8"/>
      <c r="E84" s="144">
        <f t="shared" si="3"/>
        <v>27.15915</v>
      </c>
      <c r="F84" s="144">
        <f t="shared" si="3"/>
        <v>40.79955</v>
      </c>
      <c r="L84" s="8"/>
    </row>
    <row r="85" spans="1:12" ht="15">
      <c r="A85" s="128"/>
      <c r="B85" s="163" t="s">
        <v>166</v>
      </c>
      <c r="C85" s="8"/>
      <c r="D85" s="8"/>
      <c r="E85" s="144">
        <f t="shared" si="3"/>
        <v>42.36424</v>
      </c>
      <c r="F85" s="144">
        <f t="shared" si="3"/>
        <v>53.4856</v>
      </c>
      <c r="L85" s="8"/>
    </row>
    <row r="86" spans="1:12" ht="15">
      <c r="A86" s="128"/>
      <c r="B86" s="163" t="s">
        <v>85</v>
      </c>
      <c r="C86" s="8"/>
      <c r="D86" s="8"/>
      <c r="E86" s="144">
        <f t="shared" si="3"/>
        <v>121.64442468585112</v>
      </c>
      <c r="F86" s="144">
        <f t="shared" si="3"/>
        <v>169.96617885678407</v>
      </c>
      <c r="L86" s="8"/>
    </row>
    <row r="87" spans="1:12" ht="15">
      <c r="A87" s="128"/>
      <c r="B87" s="163" t="s">
        <v>87</v>
      </c>
      <c r="C87" s="8"/>
      <c r="D87" s="8"/>
      <c r="E87" s="144">
        <f t="shared" si="3"/>
        <v>31.893463979999996</v>
      </c>
      <c r="F87" s="144">
        <f t="shared" si="3"/>
        <v>45.56529917391879</v>
      </c>
      <c r="L87" s="8"/>
    </row>
    <row r="88" spans="1:6" ht="15">
      <c r="A88" s="128"/>
      <c r="B88" s="163" t="s">
        <v>89</v>
      </c>
      <c r="C88" s="8"/>
      <c r="D88" s="8"/>
      <c r="E88" s="144">
        <f t="shared" si="3"/>
        <v>350.4264502492177</v>
      </c>
      <c r="F88" s="144">
        <f t="shared" si="3"/>
        <v>490.50294691449585</v>
      </c>
    </row>
    <row r="89" spans="1:6" ht="15">
      <c r="A89" s="128"/>
      <c r="B89" s="163" t="s">
        <v>91</v>
      </c>
      <c r="C89" s="8"/>
      <c r="D89" s="8"/>
      <c r="E89" s="144">
        <f t="shared" si="3"/>
        <v>51.03671764548994</v>
      </c>
      <c r="F89" s="144">
        <f t="shared" si="3"/>
        <v>71.4377022286769</v>
      </c>
    </row>
    <row r="90" spans="1:6" ht="15">
      <c r="A90" s="128"/>
      <c r="B90" s="163" t="s">
        <v>93</v>
      </c>
      <c r="C90" s="8"/>
      <c r="D90" s="8"/>
      <c r="E90" s="144">
        <f t="shared" si="3"/>
        <v>272.8643495030149</v>
      </c>
      <c r="F90" s="144">
        <f t="shared" si="3"/>
        <v>426.23537700905837</v>
      </c>
    </row>
    <row r="91" spans="1:6" ht="15">
      <c r="A91" s="128"/>
      <c r="B91" s="163" t="s">
        <v>95</v>
      </c>
      <c r="C91" s="8"/>
      <c r="D91" s="8"/>
      <c r="E91" s="144">
        <f t="shared" si="3"/>
        <v>942.5010909950618</v>
      </c>
      <c r="F91" s="144">
        <f t="shared" si="3"/>
        <v>1272.4496039553185</v>
      </c>
    </row>
    <row r="92" spans="1:6" ht="15">
      <c r="A92" s="128"/>
      <c r="B92" s="128" t="s">
        <v>107</v>
      </c>
      <c r="C92" s="8"/>
      <c r="D92" s="8"/>
      <c r="E92" s="144">
        <f t="shared" si="3"/>
        <v>57.16779630909751</v>
      </c>
      <c r="F92" s="144">
        <f t="shared" si="3"/>
        <v>68.70344200282105</v>
      </c>
    </row>
    <row r="93" spans="1:6" ht="15">
      <c r="A93" s="128"/>
      <c r="B93" s="128" t="s">
        <v>108</v>
      </c>
      <c r="C93" s="8"/>
      <c r="D93" s="8"/>
      <c r="E93" s="144">
        <f t="shared" si="3"/>
        <v>23.067707282618294</v>
      </c>
      <c r="F93" s="144">
        <f t="shared" si="3"/>
        <v>27.87965762433318</v>
      </c>
    </row>
    <row r="94" spans="1:6" ht="15">
      <c r="A94" s="128"/>
      <c r="B94" s="128" t="s">
        <v>109</v>
      </c>
      <c r="C94" s="8"/>
      <c r="D94" s="8"/>
      <c r="E94" s="144">
        <f t="shared" si="3"/>
        <v>33.849353077755104</v>
      </c>
      <c r="F94" s="144">
        <f t="shared" si="3"/>
        <v>40.32593334948192</v>
      </c>
    </row>
    <row r="95" spans="1:6" ht="15">
      <c r="A95" s="128"/>
      <c r="B95" s="128" t="s">
        <v>110</v>
      </c>
      <c r="C95" s="8"/>
      <c r="D95" s="8"/>
      <c r="E95" s="144">
        <f t="shared" si="3"/>
        <v>8.02355035917158</v>
      </c>
      <c r="F95" s="144">
        <f t="shared" si="3"/>
        <v>9.957020580118991</v>
      </c>
    </row>
    <row r="96" spans="1:6" ht="15">
      <c r="A96" s="128"/>
      <c r="B96" s="128" t="s">
        <v>111</v>
      </c>
      <c r="C96" s="8"/>
      <c r="D96" s="8"/>
      <c r="E96" s="144">
        <f t="shared" si="3"/>
        <v>11.032381743860924</v>
      </c>
      <c r="F96" s="144">
        <f t="shared" si="3"/>
        <v>12.944126754154693</v>
      </c>
    </row>
    <row r="97" spans="1:6" ht="15.75" thickBot="1">
      <c r="A97" s="128"/>
      <c r="B97" s="128" t="s">
        <v>104</v>
      </c>
      <c r="C97" s="8"/>
      <c r="D97" s="8"/>
      <c r="E97" s="163">
        <f t="shared" si="3"/>
        <v>17.800605</v>
      </c>
      <c r="F97" s="144">
        <f t="shared" si="3"/>
        <v>22.339995</v>
      </c>
    </row>
    <row r="98" spans="1:6" ht="15.75" thickBot="1">
      <c r="A98" s="128"/>
      <c r="B98" s="128" t="s">
        <v>100</v>
      </c>
      <c r="C98" s="8"/>
      <c r="D98" s="8"/>
      <c r="E98" s="167">
        <f>+SUM(E80:E97)-Workings!T43/k</f>
        <v>0</v>
      </c>
      <c r="F98" s="168">
        <f>+SUM(F80:F97)-Workings!S43/k</f>
        <v>0</v>
      </c>
    </row>
  </sheetData>
  <sheetProtection/>
  <mergeCells count="10">
    <mergeCell ref="C2:L2"/>
    <mergeCell ref="C6:G6"/>
    <mergeCell ref="C19:L19"/>
    <mergeCell ref="C24:L24"/>
    <mergeCell ref="C59:L59"/>
    <mergeCell ref="C54:L54"/>
    <mergeCell ref="C30:L30"/>
    <mergeCell ref="C34:L34"/>
    <mergeCell ref="C46:L46"/>
    <mergeCell ref="C51:L51"/>
  </mergeCells>
  <conditionalFormatting sqref="I70 I59:I60">
    <cfRule type="cellIs" priority="1" dxfId="2" operator="equal" stopIfTrue="1">
      <formula>"*"</formula>
    </cfRule>
    <cfRule type="cellIs" priority="2" dxfId="1" operator="equal" stopIfTrue="1">
      <formula>"**"</formula>
    </cfRule>
    <cfRule type="cellIs" priority="3" dxfId="0" operator="equal" stopIfTrue="1">
      <formula>"***"</formula>
    </cfRule>
  </conditionalFormatting>
  <conditionalFormatting sqref="E72:F72">
    <cfRule type="cellIs" priority="4" dxfId="3" operator="notBetween" stopIfTrue="1">
      <formula>0.1</formula>
      <formula>-0.1</formula>
    </cfRule>
  </conditionalFormatting>
  <conditionalFormatting sqref="I68:I69 I52:I53 I35:I45 I31:I33 I25:I29 I20:I23 I55:I58 I47:I50 I7:I18">
    <cfRule type="cellIs" priority="5" dxfId="2" operator="equal" stopIfTrue="1">
      <formula>"*"</formula>
    </cfRule>
    <cfRule type="cellIs" priority="6" dxfId="1" operator="equal" stopIfTrue="1">
      <formula>$B$75</formula>
    </cfRule>
    <cfRule type="cellIs" priority="7" dxfId="0" operator="equal" stopIfTrue="1">
      <formula>$B$76</formula>
    </cfRule>
  </conditionalFormatting>
  <printOptions horizontalCentered="1"/>
  <pageMargins left="0.7480314960629921" right="0.7480314960629921" top="0.5905511811023623" bottom="0.984251968503937" header="0.5118110236220472" footer="0.5118110236220472"/>
  <pageSetup fitToHeight="2" horizontalDpi="600" verticalDpi="600" orientation="landscape" paperSize="9" scale="50" r:id="rId1"/>
  <headerFooter alignWithMargins="0">
    <oddFooter>&amp;L&amp;D  /  &amp;T&amp;C&amp;F  /  &amp;A&amp;R&amp;P  /  &amp;N</oddFooter>
  </headerFooter>
</worksheet>
</file>

<file path=xl/worksheets/sheet2.xml><?xml version="1.0" encoding="utf-8"?>
<worksheet xmlns="http://schemas.openxmlformats.org/spreadsheetml/2006/main" xmlns:r="http://schemas.openxmlformats.org/officeDocument/2006/relationships">
  <dimension ref="A1:T43"/>
  <sheetViews>
    <sheetView tabSelected="1" zoomScale="75" zoomScaleNormal="75" zoomScalePageLayoutView="0" workbookViewId="0" topLeftCell="A1">
      <pane ySplit="2" topLeftCell="A16" activePane="bottomLeft" state="frozen"/>
      <selection pane="topLeft" activeCell="A1" sqref="A1"/>
      <selection pane="bottomLeft" activeCell="G46" sqref="G46"/>
    </sheetView>
  </sheetViews>
  <sheetFormatPr defaultColWidth="9.140625" defaultRowHeight="12.75"/>
  <cols>
    <col min="1" max="1" width="9.140625" style="172" customWidth="1"/>
    <col min="2" max="2" width="11.7109375" style="172" bestFit="1" customWidth="1"/>
    <col min="3" max="5" width="9.140625" style="172" customWidth="1"/>
    <col min="6" max="6" width="11.28125" style="172" customWidth="1"/>
    <col min="7" max="7" width="9.140625" style="172" customWidth="1"/>
    <col min="8" max="8" width="10.28125" style="172" customWidth="1"/>
    <col min="9" max="9" width="9.140625" style="172" customWidth="1"/>
    <col min="10" max="10" width="11.421875" style="172" customWidth="1"/>
    <col min="11" max="13" width="9.140625" style="172" customWidth="1"/>
    <col min="14" max="14" width="10.140625" style="172" customWidth="1"/>
    <col min="15" max="15" width="10.421875" style="172" bestFit="1" customWidth="1"/>
    <col min="16" max="16" width="10.8515625" style="172" customWidth="1"/>
    <col min="17" max="17" width="11.8515625" style="172" customWidth="1"/>
    <col min="18" max="18" width="9.140625" style="172" customWidth="1"/>
    <col min="19" max="19" width="10.421875" style="172" customWidth="1"/>
    <col min="20" max="20" width="11.57421875" style="172" customWidth="1"/>
    <col min="21" max="16384" width="9.140625" style="172" customWidth="1"/>
  </cols>
  <sheetData>
    <row r="1" spans="1:20" ht="14.25">
      <c r="A1" s="169" t="s">
        <v>60</v>
      </c>
      <c r="B1" s="170" t="s">
        <v>61</v>
      </c>
      <c r="C1" s="204" t="s">
        <v>62</v>
      </c>
      <c r="D1" s="204"/>
      <c r="E1" s="204"/>
      <c r="F1" s="204"/>
      <c r="G1" s="204"/>
      <c r="H1" s="205"/>
      <c r="I1" s="204" t="s">
        <v>63</v>
      </c>
      <c r="J1" s="204"/>
      <c r="K1" s="204"/>
      <c r="L1" s="204"/>
      <c r="M1" s="204"/>
      <c r="N1" s="205"/>
      <c r="O1" s="171" t="s">
        <v>64</v>
      </c>
      <c r="P1" s="171" t="s">
        <v>1</v>
      </c>
      <c r="Q1" s="170" t="s">
        <v>1</v>
      </c>
      <c r="R1" s="171" t="s">
        <v>158</v>
      </c>
      <c r="S1" s="171" t="s">
        <v>65</v>
      </c>
      <c r="T1" s="170" t="s">
        <v>65</v>
      </c>
    </row>
    <row r="2" spans="1:20" s="176" customFormat="1" ht="14.25">
      <c r="A2" s="173" t="s">
        <v>66</v>
      </c>
      <c r="B2" s="174" t="s">
        <v>67</v>
      </c>
      <c r="C2" s="175" t="s">
        <v>68</v>
      </c>
      <c r="D2" s="175" t="s">
        <v>69</v>
      </c>
      <c r="E2" s="175" t="s">
        <v>70</v>
      </c>
      <c r="F2" s="175" t="s">
        <v>71</v>
      </c>
      <c r="G2" s="175" t="s">
        <v>72</v>
      </c>
      <c r="H2" s="174" t="s">
        <v>73</v>
      </c>
      <c r="I2" s="175" t="s">
        <v>68</v>
      </c>
      <c r="J2" s="175" t="s">
        <v>69</v>
      </c>
      <c r="K2" s="175" t="s">
        <v>70</v>
      </c>
      <c r="L2" s="175" t="s">
        <v>71</v>
      </c>
      <c r="M2" s="175" t="s">
        <v>72</v>
      </c>
      <c r="N2" s="174" t="s">
        <v>73</v>
      </c>
      <c r="O2" s="175" t="s">
        <v>74</v>
      </c>
      <c r="P2" s="175" t="s">
        <v>75</v>
      </c>
      <c r="Q2" s="174" t="s">
        <v>65</v>
      </c>
      <c r="R2" s="175" t="s">
        <v>159</v>
      </c>
      <c r="S2" s="175" t="s">
        <v>76</v>
      </c>
      <c r="T2" s="174" t="s">
        <v>77</v>
      </c>
    </row>
    <row r="3" spans="1:20" ht="14.25">
      <c r="A3" s="177"/>
      <c r="B3" s="178" t="s">
        <v>78</v>
      </c>
      <c r="C3" s="179"/>
      <c r="D3" s="179"/>
      <c r="E3" s="179"/>
      <c r="F3" s="179"/>
      <c r="G3" s="179"/>
      <c r="H3" s="178">
        <f aca="true" t="shared" si="0" ref="H3:H25">SUM(C3:G3)</f>
        <v>0</v>
      </c>
      <c r="I3" s="179"/>
      <c r="J3" s="179">
        <v>1363409.4571009455</v>
      </c>
      <c r="K3" s="179"/>
      <c r="L3" s="179"/>
      <c r="M3" s="179">
        <v>825616.4</v>
      </c>
      <c r="N3" s="178">
        <f aca="true" t="shared" si="1" ref="N3:N25">SUM(I3:M3)</f>
        <v>2189025.8571009454</v>
      </c>
      <c r="O3" s="179">
        <f aca="true" t="shared" si="2" ref="O3:O25">+N3+H3</f>
        <v>2189025.8571009454</v>
      </c>
      <c r="P3" s="179">
        <f>2100000/2</f>
        <v>1050000</v>
      </c>
      <c r="Q3" s="178">
        <f>+O3-P3</f>
        <v>1139025.8571009454</v>
      </c>
      <c r="R3" s="179"/>
      <c r="S3" s="179"/>
      <c r="T3" s="178"/>
    </row>
    <row r="4" spans="1:20" ht="14.25">
      <c r="A4" s="177"/>
      <c r="B4" s="180" t="s">
        <v>79</v>
      </c>
      <c r="C4" s="181"/>
      <c r="D4" s="181"/>
      <c r="E4" s="181"/>
      <c r="F4" s="181"/>
      <c r="G4" s="181"/>
      <c r="H4" s="180">
        <f t="shared" si="0"/>
        <v>0</v>
      </c>
      <c r="I4" s="181"/>
      <c r="J4" s="181"/>
      <c r="K4" s="181"/>
      <c r="L4" s="181"/>
      <c r="M4" s="181"/>
      <c r="N4" s="180">
        <f t="shared" si="1"/>
        <v>0</v>
      </c>
      <c r="O4" s="181">
        <f t="shared" si="2"/>
        <v>0</v>
      </c>
      <c r="P4" s="181">
        <f>2*0.05*2*40*1000</f>
        <v>8000</v>
      </c>
      <c r="Q4" s="180">
        <f>+O4-P4</f>
        <v>-8000</v>
      </c>
      <c r="R4" s="179"/>
      <c r="S4" s="179"/>
      <c r="T4" s="178"/>
    </row>
    <row r="5" spans="1:20" ht="14.25">
      <c r="A5" s="177" t="s">
        <v>80</v>
      </c>
      <c r="B5" s="178" t="s">
        <v>81</v>
      </c>
      <c r="C5" s="179"/>
      <c r="D5" s="179"/>
      <c r="E5" s="179"/>
      <c r="F5" s="179"/>
      <c r="G5" s="179"/>
      <c r="H5" s="178">
        <f t="shared" si="0"/>
        <v>0</v>
      </c>
      <c r="I5" s="179"/>
      <c r="J5" s="179">
        <f>+J3</f>
        <v>1363409.4571009455</v>
      </c>
      <c r="K5" s="179"/>
      <c r="L5" s="179"/>
      <c r="M5" s="179">
        <f>+M3</f>
        <v>825616.4</v>
      </c>
      <c r="N5" s="178">
        <f t="shared" si="1"/>
        <v>2189025.8571009454</v>
      </c>
      <c r="O5" s="179">
        <f t="shared" si="2"/>
        <v>2189025.8571009454</v>
      </c>
      <c r="P5" s="179">
        <f>+P4+P3</f>
        <v>1058000</v>
      </c>
      <c r="Q5" s="178">
        <f>+Q4+Q3</f>
        <v>1131025.8571009454</v>
      </c>
      <c r="R5" s="179"/>
      <c r="S5" s="179"/>
      <c r="T5" s="178">
        <f>+Q5</f>
        <v>1131025.8571009454</v>
      </c>
    </row>
    <row r="6" spans="1:20" ht="14.25">
      <c r="A6" s="177"/>
      <c r="B6" s="178"/>
      <c r="C6" s="179"/>
      <c r="D6" s="179"/>
      <c r="E6" s="179"/>
      <c r="F6" s="179"/>
      <c r="G6" s="179"/>
      <c r="H6" s="178">
        <f t="shared" si="0"/>
        <v>0</v>
      </c>
      <c r="I6" s="179"/>
      <c r="J6" s="179"/>
      <c r="K6" s="179"/>
      <c r="L6" s="179"/>
      <c r="M6" s="179"/>
      <c r="N6" s="178">
        <f t="shared" si="1"/>
        <v>0</v>
      </c>
      <c r="O6" s="179">
        <f t="shared" si="2"/>
        <v>0</v>
      </c>
      <c r="P6" s="179"/>
      <c r="Q6" s="178">
        <f aca="true" t="shared" si="3" ref="Q6:Q15">+O6-P6</f>
        <v>0</v>
      </c>
      <c r="R6" s="179"/>
      <c r="S6" s="179"/>
      <c r="T6" s="178"/>
    </row>
    <row r="7" spans="1:20" ht="14.25">
      <c r="A7" s="177" t="s">
        <v>82</v>
      </c>
      <c r="B7" s="178" t="s">
        <v>83</v>
      </c>
      <c r="C7" s="179">
        <v>97118.54182272164</v>
      </c>
      <c r="D7" s="179"/>
      <c r="E7" s="179">
        <v>14833.777777777788</v>
      </c>
      <c r="F7" s="179">
        <v>7562.925809822366</v>
      </c>
      <c r="G7" s="179"/>
      <c r="H7" s="178">
        <f t="shared" si="0"/>
        <v>119515.2454103218</v>
      </c>
      <c r="I7" s="179">
        <v>70809.12783751496</v>
      </c>
      <c r="J7" s="179"/>
      <c r="K7" s="179">
        <v>10625.641025641029</v>
      </c>
      <c r="L7" s="179">
        <v>5433.313045242445</v>
      </c>
      <c r="M7" s="179"/>
      <c r="N7" s="178">
        <f t="shared" si="1"/>
        <v>86868.08190839842</v>
      </c>
      <c r="O7" s="179">
        <f t="shared" si="2"/>
        <v>206383.32731872023</v>
      </c>
      <c r="P7" s="179">
        <v>39978.666666666686</v>
      </c>
      <c r="Q7" s="178">
        <f t="shared" si="3"/>
        <v>166404.66065205354</v>
      </c>
      <c r="R7" s="179"/>
      <c r="S7" s="179">
        <f>+Q7*H7/(H7+N7)</f>
        <v>96363.8590075563</v>
      </c>
      <c r="T7" s="178">
        <f>+Q7*N7/O7</f>
        <v>70040.80164449725</v>
      </c>
    </row>
    <row r="8" spans="1:20" ht="14.25">
      <c r="A8" s="177" t="s">
        <v>164</v>
      </c>
      <c r="B8" s="178" t="s">
        <v>163</v>
      </c>
      <c r="C8" s="179"/>
      <c r="D8" s="179"/>
      <c r="E8" s="179">
        <v>49158.53057292386</v>
      </c>
      <c r="F8" s="179"/>
      <c r="G8" s="179"/>
      <c r="H8" s="178">
        <f t="shared" si="0"/>
        <v>49158.53057292386</v>
      </c>
      <c r="I8" s="179"/>
      <c r="J8" s="179"/>
      <c r="K8" s="179">
        <v>51535.90880365077</v>
      </c>
      <c r="L8" s="179"/>
      <c r="M8" s="179"/>
      <c r="N8" s="178">
        <f t="shared" si="1"/>
        <v>51535.90880365077</v>
      </c>
      <c r="O8" s="179">
        <f t="shared" si="2"/>
        <v>100694.43937657462</v>
      </c>
      <c r="P8" s="179"/>
      <c r="Q8" s="178">
        <f t="shared" si="3"/>
        <v>100694.43937657462</v>
      </c>
      <c r="R8" s="179"/>
      <c r="S8" s="179">
        <f>+Q8*H8/(H8+N8)</f>
        <v>49158.53057292386</v>
      </c>
      <c r="T8" s="178">
        <f>+Q8*N8/O8</f>
        <v>51535.90880365077</v>
      </c>
    </row>
    <row r="9" spans="1:20" ht="14.25">
      <c r="A9" s="177" t="s">
        <v>82</v>
      </c>
      <c r="B9" s="178" t="s">
        <v>84</v>
      </c>
      <c r="C9" s="179">
        <v>453377.605833331</v>
      </c>
      <c r="D9" s="179"/>
      <c r="E9" s="179"/>
      <c r="F9" s="179"/>
      <c r="G9" s="179"/>
      <c r="H9" s="178">
        <f t="shared" si="0"/>
        <v>453377.605833331</v>
      </c>
      <c r="I9" s="179">
        <v>258922.6744509313</v>
      </c>
      <c r="J9" s="179"/>
      <c r="K9" s="179"/>
      <c r="L9" s="179"/>
      <c r="M9" s="179"/>
      <c r="N9" s="178">
        <f t="shared" si="1"/>
        <v>258922.6744509313</v>
      </c>
      <c r="O9" s="179">
        <f t="shared" si="2"/>
        <v>712300.2802842623</v>
      </c>
      <c r="P9" s="179">
        <v>208950</v>
      </c>
      <c r="Q9" s="178">
        <f t="shared" si="3"/>
        <v>503350.28028426226</v>
      </c>
      <c r="R9" s="179"/>
      <c r="S9" s="179">
        <f>+Q9*H9/(H9+N9)</f>
        <v>320381.3774715105</v>
      </c>
      <c r="T9" s="178">
        <f>+Q9*N9/O9</f>
        <v>182968.90281275182</v>
      </c>
    </row>
    <row r="10" spans="1:20" ht="14.25">
      <c r="A10" s="177" t="s">
        <v>170</v>
      </c>
      <c r="B10" s="178" t="s">
        <v>170</v>
      </c>
      <c r="C10" s="179">
        <v>24227.631175412273</v>
      </c>
      <c r="D10" s="179"/>
      <c r="E10" s="179"/>
      <c r="F10" s="179"/>
      <c r="G10" s="179"/>
      <c r="H10" s="178">
        <f t="shared" si="0"/>
        <v>24227.631175412273</v>
      </c>
      <c r="I10" s="179">
        <v>19142.17095999999</v>
      </c>
      <c r="J10" s="179"/>
      <c r="K10" s="179"/>
      <c r="L10" s="179"/>
      <c r="M10" s="179"/>
      <c r="N10" s="178">
        <f t="shared" si="1"/>
        <v>19142.17095999999</v>
      </c>
      <c r="O10" s="179">
        <f t="shared" si="2"/>
        <v>43369.80213541226</v>
      </c>
      <c r="P10" s="179"/>
      <c r="Q10" s="178">
        <f t="shared" si="3"/>
        <v>43369.80213541226</v>
      </c>
      <c r="R10" s="179"/>
      <c r="S10" s="179">
        <f>+Q10*H10/(H10+N10)</f>
        <v>24227.631175412273</v>
      </c>
      <c r="T10" s="178">
        <f>+Q10*N10/O10</f>
        <v>19142.17095999999</v>
      </c>
    </row>
    <row r="11" spans="1:20" ht="14.25">
      <c r="A11" s="177" t="s">
        <v>165</v>
      </c>
      <c r="B11" s="178" t="s">
        <v>167</v>
      </c>
      <c r="C11" s="179"/>
      <c r="D11" s="179">
        <v>54399.4</v>
      </c>
      <c r="E11" s="179"/>
      <c r="F11" s="179"/>
      <c r="G11" s="179"/>
      <c r="H11" s="178">
        <f t="shared" si="0"/>
        <v>54399.4</v>
      </c>
      <c r="I11" s="179"/>
      <c r="J11" s="179">
        <v>36212.2</v>
      </c>
      <c r="K11" s="179"/>
      <c r="L11" s="179"/>
      <c r="M11" s="179"/>
      <c r="N11" s="178">
        <f t="shared" si="1"/>
        <v>36212.2</v>
      </c>
      <c r="O11" s="179">
        <f t="shared" si="2"/>
        <v>90611.6</v>
      </c>
      <c r="P11" s="179">
        <f>+O11*0.25</f>
        <v>22652.9</v>
      </c>
      <c r="Q11" s="178">
        <f t="shared" si="3"/>
        <v>67958.70000000001</v>
      </c>
      <c r="R11" s="182">
        <v>1</v>
      </c>
      <c r="S11" s="179">
        <f>+Q11*H11/(H11+N11)*R11</f>
        <v>40799.55</v>
      </c>
      <c r="T11" s="178">
        <f>+Q11*N11/O11*R11</f>
        <v>27159.15</v>
      </c>
    </row>
    <row r="12" spans="1:20" ht="14.25">
      <c r="A12" s="177" t="s">
        <v>166</v>
      </c>
      <c r="B12" s="178" t="s">
        <v>168</v>
      </c>
      <c r="C12" s="179"/>
      <c r="D12" s="179">
        <v>71314.13333333333</v>
      </c>
      <c r="E12" s="179"/>
      <c r="F12" s="179"/>
      <c r="G12" s="179"/>
      <c r="H12" s="178">
        <f t="shared" si="0"/>
        <v>71314.13333333333</v>
      </c>
      <c r="I12" s="179"/>
      <c r="J12" s="179">
        <v>56485.65333333334</v>
      </c>
      <c r="K12" s="179"/>
      <c r="L12" s="179"/>
      <c r="M12" s="179"/>
      <c r="N12" s="178">
        <f t="shared" si="1"/>
        <v>56485.65333333334</v>
      </c>
      <c r="O12" s="179">
        <f t="shared" si="2"/>
        <v>127799.78666666668</v>
      </c>
      <c r="P12" s="179">
        <f>+O12*0.25</f>
        <v>31949.94666666667</v>
      </c>
      <c r="Q12" s="178">
        <f t="shared" si="3"/>
        <v>95849.84000000001</v>
      </c>
      <c r="R12" s="182">
        <v>1</v>
      </c>
      <c r="S12" s="179">
        <f>+Q12*H12/(H12+N12)*R12</f>
        <v>53485.6</v>
      </c>
      <c r="T12" s="178">
        <f>+Q12*N12/O12*R12</f>
        <v>42364.240000000005</v>
      </c>
    </row>
    <row r="13" spans="1:20" ht="14.25">
      <c r="A13" s="177" t="s">
        <v>85</v>
      </c>
      <c r="B13" s="178" t="s">
        <v>86</v>
      </c>
      <c r="C13" s="179"/>
      <c r="D13" s="179"/>
      <c r="E13" s="179">
        <v>214131.08817817303</v>
      </c>
      <c r="F13" s="179"/>
      <c r="G13" s="179"/>
      <c r="H13" s="178">
        <f t="shared" si="0"/>
        <v>214131.08817817303</v>
      </c>
      <c r="I13" s="179"/>
      <c r="J13" s="179"/>
      <c r="K13" s="179">
        <v>154245.40429264633</v>
      </c>
      <c r="L13" s="179"/>
      <c r="M13" s="179"/>
      <c r="N13" s="178">
        <f t="shared" si="1"/>
        <v>154245.40429264633</v>
      </c>
      <c r="O13" s="179">
        <f t="shared" si="2"/>
        <v>368376.4924708194</v>
      </c>
      <c r="P13" s="179">
        <v>142458.39443</v>
      </c>
      <c r="Q13" s="178">
        <f t="shared" si="3"/>
        <v>225918.0980408194</v>
      </c>
      <c r="R13" s="179"/>
      <c r="S13" s="179">
        <f>+Q13*H13/(H13+N13)</f>
        <v>131322.40835496827</v>
      </c>
      <c r="T13" s="178">
        <f>+Q13*N13/O13</f>
        <v>94595.68968585112</v>
      </c>
    </row>
    <row r="14" spans="1:20" ht="14.25">
      <c r="A14" s="177"/>
      <c r="B14" s="178"/>
      <c r="C14" s="179"/>
      <c r="D14" s="179"/>
      <c r="E14" s="179"/>
      <c r="F14" s="179"/>
      <c r="G14" s="179"/>
      <c r="H14" s="178">
        <f t="shared" si="0"/>
        <v>0</v>
      </c>
      <c r="I14" s="179"/>
      <c r="J14" s="179"/>
      <c r="K14" s="179"/>
      <c r="L14" s="179"/>
      <c r="M14" s="179"/>
      <c r="N14" s="178">
        <f t="shared" si="1"/>
        <v>0</v>
      </c>
      <c r="O14" s="179">
        <f t="shared" si="2"/>
        <v>0</v>
      </c>
      <c r="P14" s="179"/>
      <c r="Q14" s="178">
        <f t="shared" si="3"/>
        <v>0</v>
      </c>
      <c r="R14" s="179"/>
      <c r="S14" s="179"/>
      <c r="T14" s="178"/>
    </row>
    <row r="15" spans="1:20" ht="14.25">
      <c r="A15" s="177" t="s">
        <v>87</v>
      </c>
      <c r="B15" s="178" t="s">
        <v>88</v>
      </c>
      <c r="C15" s="179"/>
      <c r="D15" s="179"/>
      <c r="E15" s="179">
        <v>120225.06378342687</v>
      </c>
      <c r="F15" s="179"/>
      <c r="G15" s="179"/>
      <c r="H15" s="178">
        <f t="shared" si="0"/>
        <v>120225.06378342687</v>
      </c>
      <c r="I15" s="179"/>
      <c r="J15" s="179"/>
      <c r="K15" s="179">
        <v>84151.62</v>
      </c>
      <c r="L15" s="179"/>
      <c r="M15" s="179"/>
      <c r="N15" s="178">
        <f t="shared" si="1"/>
        <v>84151.62</v>
      </c>
      <c r="O15" s="179">
        <f t="shared" si="2"/>
        <v>204376.68378342688</v>
      </c>
      <c r="P15" s="179">
        <f>+O15*62.1%</f>
        <v>126917.9206295081</v>
      </c>
      <c r="Q15" s="178">
        <f t="shared" si="3"/>
        <v>77458.76315391879</v>
      </c>
      <c r="R15" s="179"/>
      <c r="S15" s="179">
        <f>+Q15*H15/(H15+N15)</f>
        <v>45565.299173918786</v>
      </c>
      <c r="T15" s="178">
        <f>+Q15*N15/O15</f>
        <v>31893.463979999997</v>
      </c>
    </row>
    <row r="16" spans="1:20" ht="14.25">
      <c r="A16" s="177"/>
      <c r="B16" s="178"/>
      <c r="C16" s="179"/>
      <c r="D16" s="179"/>
      <c r="E16" s="179"/>
      <c r="F16" s="179"/>
      <c r="G16" s="179"/>
      <c r="H16" s="178">
        <f t="shared" si="0"/>
        <v>0</v>
      </c>
      <c r="I16" s="179"/>
      <c r="J16" s="179"/>
      <c r="K16" s="179"/>
      <c r="L16" s="179"/>
      <c r="M16" s="179"/>
      <c r="N16" s="178">
        <f t="shared" si="1"/>
        <v>0</v>
      </c>
      <c r="O16" s="179">
        <f t="shared" si="2"/>
        <v>0</v>
      </c>
      <c r="P16" s="179"/>
      <c r="Q16" s="183"/>
      <c r="R16" s="184"/>
      <c r="S16" s="179"/>
      <c r="T16" s="178"/>
    </row>
    <row r="17" spans="1:20" ht="14.25">
      <c r="A17" s="177" t="s">
        <v>89</v>
      </c>
      <c r="B17" s="178" t="s">
        <v>90</v>
      </c>
      <c r="C17" s="179"/>
      <c r="D17" s="179">
        <v>577995.9543956585</v>
      </c>
      <c r="E17" s="179"/>
      <c r="F17" s="179"/>
      <c r="G17" s="179"/>
      <c r="H17" s="178">
        <f t="shared" si="0"/>
        <v>577995.9543956585</v>
      </c>
      <c r="I17" s="179"/>
      <c r="J17" s="179">
        <v>412933.442768055</v>
      </c>
      <c r="K17" s="179"/>
      <c r="L17" s="179"/>
      <c r="M17" s="179"/>
      <c r="N17" s="178">
        <f t="shared" si="1"/>
        <v>412933.442768055</v>
      </c>
      <c r="O17" s="179">
        <f t="shared" si="2"/>
        <v>990929.3971637135</v>
      </c>
      <c r="P17" s="179">
        <v>150000</v>
      </c>
      <c r="Q17" s="178">
        <f>+O17-P17</f>
        <v>840929.3971637135</v>
      </c>
      <c r="R17" s="179"/>
      <c r="S17" s="179">
        <f>+Q17*H17/(H17+N17)</f>
        <v>490502.94691449584</v>
      </c>
      <c r="T17" s="178">
        <f>+Q17*N17/O17</f>
        <v>350426.4502492177</v>
      </c>
    </row>
    <row r="18" spans="1:20" ht="14.25">
      <c r="A18" s="177"/>
      <c r="B18" s="178"/>
      <c r="C18" s="179"/>
      <c r="D18" s="179"/>
      <c r="E18" s="179"/>
      <c r="F18" s="179"/>
      <c r="G18" s="179"/>
      <c r="H18" s="178">
        <f t="shared" si="0"/>
        <v>0</v>
      </c>
      <c r="I18" s="179"/>
      <c r="J18" s="179"/>
      <c r="K18" s="179"/>
      <c r="L18" s="179"/>
      <c r="M18" s="179"/>
      <c r="N18" s="178">
        <f t="shared" si="1"/>
        <v>0</v>
      </c>
      <c r="O18" s="179">
        <f t="shared" si="2"/>
        <v>0</v>
      </c>
      <c r="P18" s="179"/>
      <c r="Q18" s="178"/>
      <c r="R18" s="179"/>
      <c r="S18" s="179"/>
      <c r="T18" s="178"/>
    </row>
    <row r="19" spans="1:20" ht="14.25">
      <c r="A19" s="177" t="s">
        <v>91</v>
      </c>
      <c r="B19" s="178" t="s">
        <v>92</v>
      </c>
      <c r="C19" s="179"/>
      <c r="D19" s="179">
        <v>71437.70222867689</v>
      </c>
      <c r="E19" s="179"/>
      <c r="F19" s="179"/>
      <c r="G19" s="179"/>
      <c r="H19" s="178">
        <f t="shared" si="0"/>
        <v>71437.70222867689</v>
      </c>
      <c r="I19" s="179"/>
      <c r="J19" s="179">
        <v>51036.71764548994</v>
      </c>
      <c r="K19" s="179"/>
      <c r="L19" s="179"/>
      <c r="M19" s="179"/>
      <c r="N19" s="178">
        <f t="shared" si="1"/>
        <v>51036.71764548994</v>
      </c>
      <c r="O19" s="179">
        <f t="shared" si="2"/>
        <v>122474.41987416684</v>
      </c>
      <c r="P19" s="179"/>
      <c r="Q19" s="178">
        <f aca="true" t="shared" si="4" ref="Q19:Q25">+O19-P19</f>
        <v>122474.41987416684</v>
      </c>
      <c r="R19" s="179"/>
      <c r="S19" s="179">
        <f>+Q19*H19/(H19+N19)</f>
        <v>71437.70222867689</v>
      </c>
      <c r="T19" s="178">
        <f>+Q19*N19/O19</f>
        <v>51036.71764548994</v>
      </c>
    </row>
    <row r="20" spans="1:20" ht="14.25">
      <c r="A20" s="177"/>
      <c r="B20" s="178"/>
      <c r="C20" s="179"/>
      <c r="D20" s="179"/>
      <c r="E20" s="179"/>
      <c r="F20" s="179"/>
      <c r="G20" s="179"/>
      <c r="H20" s="178">
        <f t="shared" si="0"/>
        <v>0</v>
      </c>
      <c r="I20" s="179"/>
      <c r="J20" s="179"/>
      <c r="K20" s="179"/>
      <c r="L20" s="179"/>
      <c r="M20" s="179"/>
      <c r="N20" s="178">
        <f t="shared" si="1"/>
        <v>0</v>
      </c>
      <c r="O20" s="179">
        <f t="shared" si="2"/>
        <v>0</v>
      </c>
      <c r="P20" s="179"/>
      <c r="Q20" s="178">
        <f t="shared" si="4"/>
        <v>0</v>
      </c>
      <c r="R20" s="179"/>
      <c r="S20" s="179"/>
      <c r="T20" s="178"/>
    </row>
    <row r="21" spans="1:20" ht="14.25">
      <c r="A21" s="177" t="s">
        <v>93</v>
      </c>
      <c r="B21" s="178" t="s">
        <v>94</v>
      </c>
      <c r="C21" s="179"/>
      <c r="D21" s="179"/>
      <c r="E21" s="179">
        <v>426235.3770090584</v>
      </c>
      <c r="F21" s="179"/>
      <c r="G21" s="179"/>
      <c r="H21" s="178">
        <f t="shared" si="0"/>
        <v>426235.3770090584</v>
      </c>
      <c r="I21" s="179"/>
      <c r="J21" s="179"/>
      <c r="K21" s="179">
        <v>272864.34950301494</v>
      </c>
      <c r="L21" s="179"/>
      <c r="M21" s="179"/>
      <c r="N21" s="178">
        <f t="shared" si="1"/>
        <v>272864.34950301494</v>
      </c>
      <c r="O21" s="179">
        <f t="shared" si="2"/>
        <v>699099.7265120733</v>
      </c>
      <c r="P21" s="179"/>
      <c r="Q21" s="178">
        <f t="shared" si="4"/>
        <v>699099.7265120733</v>
      </c>
      <c r="R21" s="179"/>
      <c r="S21" s="179">
        <f>+Q21*H21/(H21+N21)</f>
        <v>426235.3770090584</v>
      </c>
      <c r="T21" s="178">
        <f>+Q21*N21/O21</f>
        <v>272864.34950301494</v>
      </c>
    </row>
    <row r="22" spans="1:20" ht="14.25">
      <c r="A22" s="177" t="s">
        <v>95</v>
      </c>
      <c r="B22" s="178" t="s">
        <v>96</v>
      </c>
      <c r="C22" s="179"/>
      <c r="D22" s="179"/>
      <c r="E22" s="179"/>
      <c r="F22" s="179">
        <v>1272449.6039553185</v>
      </c>
      <c r="G22" s="179"/>
      <c r="H22" s="178">
        <f t="shared" si="0"/>
        <v>1272449.6039553185</v>
      </c>
      <c r="I22" s="179"/>
      <c r="J22" s="179"/>
      <c r="K22" s="179"/>
      <c r="L22" s="179">
        <v>942501.0909950618</v>
      </c>
      <c r="M22" s="179"/>
      <c r="N22" s="178">
        <f t="shared" si="1"/>
        <v>942501.0909950618</v>
      </c>
      <c r="O22" s="179">
        <f t="shared" si="2"/>
        <v>2214950.6949503804</v>
      </c>
      <c r="P22" s="179"/>
      <c r="Q22" s="178">
        <f t="shared" si="4"/>
        <v>2214950.6949503804</v>
      </c>
      <c r="R22" s="179"/>
      <c r="S22" s="179">
        <f>+Q22*H22/(H22+N22)</f>
        <v>1272449.6039553185</v>
      </c>
      <c r="T22" s="178">
        <f>+Q22*N22/O22</f>
        <v>942501.0909950618</v>
      </c>
    </row>
    <row r="23" spans="1:20" ht="14.25">
      <c r="A23" s="177" t="s">
        <v>97</v>
      </c>
      <c r="B23" s="178" t="s">
        <v>98</v>
      </c>
      <c r="C23" s="179">
        <v>138601.72647525638</v>
      </c>
      <c r="D23" s="179"/>
      <c r="E23" s="179"/>
      <c r="F23" s="179"/>
      <c r="G23" s="179"/>
      <c r="H23" s="178">
        <f t="shared" si="0"/>
        <v>138601.72647525638</v>
      </c>
      <c r="I23" s="179">
        <v>115539.12517207077</v>
      </c>
      <c r="J23" s="179"/>
      <c r="K23" s="179"/>
      <c r="L23" s="179"/>
      <c r="M23" s="179"/>
      <c r="N23" s="178">
        <f t="shared" si="1"/>
        <v>115539.12517207077</v>
      </c>
      <c r="O23" s="179">
        <f t="shared" si="2"/>
        <v>254140.85164732713</v>
      </c>
      <c r="P23" s="179"/>
      <c r="Q23" s="178">
        <f t="shared" si="4"/>
        <v>254140.85164732713</v>
      </c>
      <c r="R23" s="179"/>
      <c r="S23" s="179">
        <f>+Q23*H23/(H23+N23)</f>
        <v>138601.72647525638</v>
      </c>
      <c r="T23" s="178">
        <f>+Q23*N23/O23</f>
        <v>115539.12517207077</v>
      </c>
    </row>
    <row r="24" spans="1:20" ht="14.25">
      <c r="A24" s="177" t="s">
        <v>85</v>
      </c>
      <c r="B24" s="178" t="s">
        <v>99</v>
      </c>
      <c r="C24" s="179"/>
      <c r="D24" s="179"/>
      <c r="E24" s="179">
        <v>51525.02733575438</v>
      </c>
      <c r="F24" s="179"/>
      <c r="G24" s="179"/>
      <c r="H24" s="178">
        <f t="shared" si="0"/>
        <v>51525.02733575438</v>
      </c>
      <c r="I24" s="179"/>
      <c r="J24" s="179"/>
      <c r="K24" s="179">
        <v>36064.98</v>
      </c>
      <c r="L24" s="179"/>
      <c r="M24" s="179"/>
      <c r="N24" s="178">
        <f t="shared" si="1"/>
        <v>36064.98</v>
      </c>
      <c r="O24" s="179">
        <f t="shared" si="2"/>
        <v>87590.00733575437</v>
      </c>
      <c r="P24" s="179">
        <f>+O24*0.25</f>
        <v>21897.501833938593</v>
      </c>
      <c r="Q24" s="178">
        <f t="shared" si="4"/>
        <v>65692.50550181579</v>
      </c>
      <c r="R24" s="179"/>
      <c r="S24" s="179">
        <f>+Q24*H24/(H24+N24)</f>
        <v>38643.77050181579</v>
      </c>
      <c r="T24" s="178">
        <f>+Q24*N24/O24</f>
        <v>27048.735000000004</v>
      </c>
    </row>
    <row r="25" spans="1:20" ht="14.25">
      <c r="A25" s="177"/>
      <c r="B25" s="178"/>
      <c r="C25" s="179"/>
      <c r="D25" s="179"/>
      <c r="E25" s="179"/>
      <c r="F25" s="179"/>
      <c r="G25" s="179"/>
      <c r="H25" s="178">
        <f t="shared" si="0"/>
        <v>0</v>
      </c>
      <c r="I25" s="179"/>
      <c r="J25" s="179"/>
      <c r="K25" s="179"/>
      <c r="L25" s="179"/>
      <c r="M25" s="179"/>
      <c r="N25" s="178">
        <f t="shared" si="1"/>
        <v>0</v>
      </c>
      <c r="O25" s="179">
        <f t="shared" si="2"/>
        <v>0</v>
      </c>
      <c r="P25" s="179"/>
      <c r="Q25" s="178">
        <f t="shared" si="4"/>
        <v>0</v>
      </c>
      <c r="R25" s="179"/>
      <c r="S25" s="179">
        <f>+H25</f>
        <v>0</v>
      </c>
      <c r="T25" s="178">
        <f>+N25</f>
        <v>0</v>
      </c>
    </row>
    <row r="26" spans="1:20" ht="15" thickBot="1">
      <c r="A26" s="185"/>
      <c r="B26" s="180" t="s">
        <v>73</v>
      </c>
      <c r="C26" s="16">
        <f aca="true" t="shared" si="5" ref="C26:T26">SUM(C5:C25)</f>
        <v>713325.5053067213</v>
      </c>
      <c r="D26" s="186">
        <f t="shared" si="5"/>
        <v>775147.1899576687</v>
      </c>
      <c r="E26" s="186">
        <f t="shared" si="5"/>
        <v>876108.8646571143</v>
      </c>
      <c r="F26" s="186">
        <f t="shared" si="5"/>
        <v>1280012.5297651407</v>
      </c>
      <c r="G26" s="186">
        <f t="shared" si="5"/>
        <v>0</v>
      </c>
      <c r="H26" s="187">
        <f t="shared" si="5"/>
        <v>3644594.089686645</v>
      </c>
      <c r="I26" s="186">
        <f t="shared" si="5"/>
        <v>464413.098420517</v>
      </c>
      <c r="J26" s="186">
        <f t="shared" si="5"/>
        <v>1920077.4708478237</v>
      </c>
      <c r="K26" s="186">
        <f t="shared" si="5"/>
        <v>609487.903624953</v>
      </c>
      <c r="L26" s="186">
        <f t="shared" si="5"/>
        <v>947934.4040403042</v>
      </c>
      <c r="M26" s="186">
        <f t="shared" si="5"/>
        <v>825616.4</v>
      </c>
      <c r="N26" s="187">
        <f t="shared" si="5"/>
        <v>4767529.276933599</v>
      </c>
      <c r="O26" s="186">
        <f t="shared" si="5"/>
        <v>8412123.366620243</v>
      </c>
      <c r="P26" s="186">
        <f t="shared" si="5"/>
        <v>1802805.3302267801</v>
      </c>
      <c r="Q26" s="187">
        <f t="shared" si="5"/>
        <v>6609318.036393464</v>
      </c>
      <c r="R26" s="186"/>
      <c r="S26" s="186">
        <f t="shared" si="5"/>
        <v>3199175.382840912</v>
      </c>
      <c r="T26" s="187">
        <f t="shared" si="5"/>
        <v>3410142.6535525513</v>
      </c>
    </row>
    <row r="27" spans="2:17" ht="15" thickTop="1">
      <c r="B27" s="172" t="s">
        <v>100</v>
      </c>
      <c r="C27" s="172">
        <v>0</v>
      </c>
      <c r="D27" s="172">
        <v>0</v>
      </c>
      <c r="E27" s="172">
        <v>0</v>
      </c>
      <c r="F27" s="172">
        <v>0</v>
      </c>
      <c r="H27" s="172">
        <f>+H26-SUM(C26:G26)</f>
        <v>0</v>
      </c>
      <c r="I27" s="172">
        <v>0</v>
      </c>
      <c r="J27" s="172">
        <v>0</v>
      </c>
      <c r="K27" s="172">
        <v>0</v>
      </c>
      <c r="L27" s="172">
        <v>0</v>
      </c>
      <c r="N27" s="172">
        <f>+N26-SUM(I26:M26)</f>
        <v>0</v>
      </c>
      <c r="Q27" s="172">
        <f>+Q26-S26-T26</f>
        <v>0</v>
      </c>
    </row>
    <row r="28" ht="14.25">
      <c r="Q28" s="172">
        <f>+O26-P26-Q26</f>
        <v>0</v>
      </c>
    </row>
    <row r="30" ht="15">
      <c r="A30" s="188" t="s">
        <v>112</v>
      </c>
    </row>
    <row r="31" spans="3:15" ht="14.25">
      <c r="C31" s="172" t="s">
        <v>101</v>
      </c>
      <c r="O31" s="172">
        <v>89800</v>
      </c>
    </row>
    <row r="32" spans="3:15" ht="14.25">
      <c r="C32" s="172" t="s">
        <v>102</v>
      </c>
      <c r="O32" s="172">
        <f>+O31*0.75</f>
        <v>67350</v>
      </c>
    </row>
    <row r="33" spans="3:20" ht="14.25">
      <c r="C33" s="172" t="s">
        <v>103</v>
      </c>
      <c r="S33" s="189">
        <v>0.3317</v>
      </c>
      <c r="T33" s="189">
        <v>0.2643</v>
      </c>
    </row>
    <row r="34" spans="1:20" ht="14.25">
      <c r="A34" s="172" t="s">
        <v>104</v>
      </c>
      <c r="B34" s="172" t="s">
        <v>104</v>
      </c>
      <c r="C34" s="172" t="s">
        <v>105</v>
      </c>
      <c r="R34" s="176" t="s">
        <v>137</v>
      </c>
      <c r="S34" s="172">
        <f>+S33*O32</f>
        <v>22339.995</v>
      </c>
      <c r="T34" s="172">
        <f>+T33*O32</f>
        <v>17800.605</v>
      </c>
    </row>
    <row r="35" spans="1:20" ht="14.25">
      <c r="A35" s="190" t="s">
        <v>107</v>
      </c>
      <c r="B35" s="191" t="s">
        <v>113</v>
      </c>
      <c r="C35" s="172">
        <v>69</v>
      </c>
      <c r="H35" s="191" t="s">
        <v>113</v>
      </c>
      <c r="I35" s="172">
        <v>57</v>
      </c>
      <c r="N35" s="191" t="s">
        <v>114</v>
      </c>
      <c r="O35" s="192">
        <v>1.25</v>
      </c>
      <c r="R35" s="182">
        <v>1</v>
      </c>
      <c r="S35" s="172">
        <f>+C35/SUM($C$35:$C$39)*$C$23*O35*R35</f>
        <v>68703.44200282104</v>
      </c>
      <c r="T35" s="172">
        <f>+I35/SUM($I$35:$I$39)*$I$23*O35*R35</f>
        <v>57167.79630909751</v>
      </c>
    </row>
    <row r="36" spans="1:20" ht="14.25">
      <c r="A36" s="190" t="s">
        <v>108</v>
      </c>
      <c r="B36" s="191" t="s">
        <v>113</v>
      </c>
      <c r="C36" s="172">
        <v>28</v>
      </c>
      <c r="H36" s="191" t="s">
        <v>113</v>
      </c>
      <c r="I36" s="172">
        <v>23</v>
      </c>
      <c r="N36" s="191" t="s">
        <v>114</v>
      </c>
      <c r="O36" s="192">
        <f>+O35</f>
        <v>1.25</v>
      </c>
      <c r="R36" s="182">
        <v>1</v>
      </c>
      <c r="S36" s="172">
        <f>+C36/SUM($C$35:$C$39)*$C$23*O36*R36</f>
        <v>27879.65762433318</v>
      </c>
      <c r="T36" s="172">
        <f>+I36/SUM($I$35:$I$39)*$I$23*O36*R36</f>
        <v>23067.707282618292</v>
      </c>
    </row>
    <row r="37" spans="1:20" ht="14.25">
      <c r="A37" s="190" t="s">
        <v>109</v>
      </c>
      <c r="B37" s="191" t="s">
        <v>113</v>
      </c>
      <c r="C37" s="172">
        <v>54</v>
      </c>
      <c r="H37" s="191" t="s">
        <v>113</v>
      </c>
      <c r="I37" s="172">
        <v>45</v>
      </c>
      <c r="N37" s="191" t="s">
        <v>114</v>
      </c>
      <c r="O37" s="192">
        <f>+O36</f>
        <v>1.25</v>
      </c>
      <c r="R37" s="182">
        <v>0.75</v>
      </c>
      <c r="S37" s="172">
        <f>+C37/SUM($C$35:$C$39)*$C$23*O37*R37</f>
        <v>40325.93334948192</v>
      </c>
      <c r="T37" s="172">
        <f>+I37/SUM($I$35:$I$39)*$I$23*O37*R37</f>
        <v>33849.353077755106</v>
      </c>
    </row>
    <row r="38" spans="1:20" ht="14.25">
      <c r="A38" s="190" t="s">
        <v>110</v>
      </c>
      <c r="B38" s="191" t="s">
        <v>113</v>
      </c>
      <c r="C38" s="172">
        <v>10</v>
      </c>
      <c r="H38" s="191" t="s">
        <v>113</v>
      </c>
      <c r="I38" s="172">
        <v>8</v>
      </c>
      <c r="N38" s="191" t="s">
        <v>114</v>
      </c>
      <c r="O38" s="192">
        <f>+O37</f>
        <v>1.25</v>
      </c>
      <c r="R38" s="182">
        <v>1</v>
      </c>
      <c r="S38" s="172">
        <f>+C38/SUM($C$35:$C$39)*$C$23*O38*R38</f>
        <v>9957.020580118991</v>
      </c>
      <c r="T38" s="172">
        <f>+I38/SUM($I$35:$I$39)*$I$23*O38*R38</f>
        <v>8023.550359171581</v>
      </c>
    </row>
    <row r="39" spans="1:20" ht="14.25">
      <c r="A39" s="190" t="s">
        <v>111</v>
      </c>
      <c r="B39" s="191" t="s">
        <v>113</v>
      </c>
      <c r="C39" s="172">
        <v>13</v>
      </c>
      <c r="H39" s="191" t="s">
        <v>113</v>
      </c>
      <c r="I39" s="172">
        <v>11</v>
      </c>
      <c r="N39" s="191" t="s">
        <v>114</v>
      </c>
      <c r="O39" s="192">
        <f>+O38</f>
        <v>1.25</v>
      </c>
      <c r="R39" s="182">
        <v>1</v>
      </c>
      <c r="S39" s="172">
        <f>+C39/SUM($C$35:$C$39)*$C$23*O39*R39</f>
        <v>12944.126754154693</v>
      </c>
      <c r="T39" s="172">
        <f>+I39/SUM($I$35:$I$39)*$I$23*O39*R39</f>
        <v>11032.381743860924</v>
      </c>
    </row>
    <row r="40" spans="19:20" ht="14.25">
      <c r="S40" s="172">
        <f>SUM(S35:S39)-S23*$O$39</f>
        <v>-13441.977783160663</v>
      </c>
      <c r="T40" s="172">
        <f>SUM(T35:T39)-T23*$O$39</f>
        <v>-11283.117692585045</v>
      </c>
    </row>
    <row r="43" spans="1:20" ht="14.25">
      <c r="A43" s="172" t="s">
        <v>100</v>
      </c>
      <c r="B43" s="193" t="s">
        <v>171</v>
      </c>
      <c r="C43" s="193"/>
      <c r="D43" s="193"/>
      <c r="E43" s="193"/>
      <c r="F43" s="193"/>
      <c r="G43" s="193"/>
      <c r="H43" s="193"/>
      <c r="I43" s="193"/>
      <c r="J43" s="193"/>
      <c r="K43" s="193"/>
      <c r="L43" s="193"/>
      <c r="M43" s="193"/>
      <c r="N43" s="193"/>
      <c r="O43" s="193"/>
      <c r="P43" s="193"/>
      <c r="Q43" s="193"/>
      <c r="R43" s="193"/>
      <c r="S43" s="193">
        <f>+S26-S23+SUM(S34:S39)</f>
        <v>3242723.831676565</v>
      </c>
      <c r="T43" s="193">
        <f>+T26-T23+SUM(T34:T39)</f>
        <v>3445544.922152984</v>
      </c>
    </row>
  </sheetData>
  <sheetProtection/>
  <mergeCells count="2">
    <mergeCell ref="C1:H1"/>
    <mergeCell ref="I1:N1"/>
  </mergeCells>
  <printOptions horizontalCentered="1"/>
  <pageMargins left="0.7480314960629921" right="0.7480314960629921" top="1.1" bottom="0.984251968503937" header="0.5118110236220472" footer="0.5118110236220472"/>
  <pageSetup horizontalDpi="1200" verticalDpi="1200" orientation="landscape" paperSize="9" scale="65" r:id="rId1"/>
  <headerFooter alignWithMargins="0">
    <oddHeader>&amp;L&amp;D  -  &amp;T&amp;CWHHT SLA changes -&gt; FRP savings&amp;R&amp;F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DayZ</dc:creator>
  <cp:keywords/>
  <dc:description/>
  <cp:lastModifiedBy>Dr Gerard Bulger</cp:lastModifiedBy>
  <cp:lastPrinted>2006-04-06T15:05:46Z</cp:lastPrinted>
  <dcterms:created xsi:type="dcterms:W3CDTF">2006-03-22T10:38:09Z</dcterms:created>
  <dcterms:modified xsi:type="dcterms:W3CDTF">2008-04-28T13:53:33Z</dcterms:modified>
  <cp:category/>
  <cp:version/>
  <cp:contentType/>
  <cp:contentStatus/>
</cp:coreProperties>
</file>